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525" firstSheet="3" activeTab="5"/>
  </bookViews>
  <sheets>
    <sheet name="дворы" sheetId="1" r:id="rId1"/>
    <sheet name=" общего пользования" sheetId="2" r:id="rId2"/>
    <sheet name="ДОРОЖНЫЕ РАБОТЫ" sheetId="3" r:id="rId3"/>
    <sheet name="участие 5%" sheetId="4" r:id="rId4"/>
    <sheet name="ДОРОЖНЫЕ РАБОТЫ  ЦИИ" sheetId="5" r:id="rId5"/>
    <sheet name="дворы ЦИИ" sheetId="6" r:id="rId6"/>
    <sheet name=" общего пользования ЦИИ" sheetId="7" r:id="rId7"/>
    <sheet name="участие 5%  ЦИИ" sheetId="8" r:id="rId8"/>
    <sheet name="Лист3" sheetId="9" r:id="rId9"/>
  </sheets>
  <definedNames>
    <definedName name="_xlnm.Print_Area" localSheetId="1">' общего пользования'!$A$8:$AA$21</definedName>
    <definedName name="_xlnm.Print_Area" localSheetId="6">' общего пользования ЦИИ'!$A$6:$X$21</definedName>
    <definedName name="_xlnm.Print_Area" localSheetId="0">'дворы'!$A$8:$AE$26</definedName>
    <definedName name="_xlnm.Print_Area" localSheetId="5">'дворы ЦИИ'!$A$8:$AC$48</definedName>
    <definedName name="_xlnm.Print_Area" localSheetId="2">'ДОРОЖНЫЕ РАБОТЫ'!$B$5:$W$22</definedName>
    <definedName name="_xlnm.Print_Area" localSheetId="4">'ДОРОЖНЫЕ РАБОТЫ  ЦИИ'!$B$5:$X$22</definedName>
    <definedName name="_xlnm.Print_Area" localSheetId="3">'участие 5%'!$B$8:$T$29</definedName>
    <definedName name="_xlnm.Print_Area" localSheetId="7">'участие 5%  ЦИИ'!$B$8:$T$29</definedName>
  </definedNames>
  <calcPr fullCalcOnLoad="1" refMode="R1C1"/>
</workbook>
</file>

<file path=xl/sharedStrings.xml><?xml version="1.0" encoding="utf-8"?>
<sst xmlns="http://schemas.openxmlformats.org/spreadsheetml/2006/main" count="360" uniqueCount="86">
  <si>
    <t xml:space="preserve">Благоустройство дворовой территории жилых домов по ул.Тургенева д.8 </t>
  </si>
  <si>
    <t xml:space="preserve"> руб</t>
  </si>
  <si>
    <t>Уличное освещение</t>
  </si>
  <si>
    <t>Установка скамеек</t>
  </si>
  <si>
    <t>Установка урн</t>
  </si>
  <si>
    <t xml:space="preserve"> Установка детской площадки, руб</t>
  </si>
  <si>
    <t>песочница</t>
  </si>
  <si>
    <t>качели</t>
  </si>
  <si>
    <t>монтаж</t>
  </si>
  <si>
    <t>всего</t>
  </si>
  <si>
    <t>Итого</t>
  </si>
  <si>
    <t>Благоустройство дворовой территории жилого дома по ул.Свердлова  д.10 корп.1,2</t>
  </si>
  <si>
    <t>Благоустройство дворовой территории  квартала жилых домов по ул. Мира д.1, ул. Гагарина д.4, ул. Советская д.2,4</t>
  </si>
  <si>
    <t>Благоустройство дворовой территории жилых домов по ул. Гагарин д.6, ул. Советская д.1</t>
  </si>
  <si>
    <t>Благоустройство дворовой территории жилых домов по ул. Советская д.3,5,7</t>
  </si>
  <si>
    <t xml:space="preserve">Благоустройство дворовой территории жилого дома по ул. Мира  д.5 </t>
  </si>
  <si>
    <t>Благоустройство дворовой территории  квартала жилых домов по ул. Мира д.14,16, ул. Лермонтова д.6</t>
  </si>
  <si>
    <t>ограждение</t>
  </si>
  <si>
    <t>Благоустройство дворовой территории жилого дома по ул. Свердлова  д.4</t>
  </si>
  <si>
    <t>Благоустройство дворовой территории жилого дома по ул. Пушкина  д.13</t>
  </si>
  <si>
    <t>Всего</t>
  </si>
  <si>
    <t>Мероприятия</t>
  </si>
  <si>
    <t>№пп</t>
  </si>
  <si>
    <t>Устройство территории общего пользования по ул. Свердлова (от Свердлова 10 до Гагарина 6)</t>
  </si>
  <si>
    <t xml:space="preserve"> пешеходные дорожки</t>
  </si>
  <si>
    <t>Ремонт территории общего пользования по ул. Мира   (от Мира 1 до  администрации поселения)</t>
  </si>
  <si>
    <t>Ремонт территории общего пользования по ул.Советская (от Советская 1 до Советская 5)</t>
  </si>
  <si>
    <t xml:space="preserve"> Установка спортивного комплекса, руб</t>
  </si>
  <si>
    <t>ворота</t>
  </si>
  <si>
    <t>воркаут</t>
  </si>
  <si>
    <t>спортплощадка</t>
  </si>
  <si>
    <t>стоимость</t>
  </si>
  <si>
    <t>вего</t>
  </si>
  <si>
    <t>скейт</t>
  </si>
  <si>
    <t>монтажс доставкой</t>
  </si>
  <si>
    <t>Благоустройство парка ул. Гагарина 1</t>
  </si>
  <si>
    <t>Сводная стоимость работ  по ремонту территорий общего пользования  в рамках реализации мунипальной программы "Формирование современной городской среды на территории городского поселения "Жешарт" на 2017 год"</t>
  </si>
  <si>
    <t>Строительство многофункционального общественного спортивного объекта в районе школы "Искусств"</t>
  </si>
  <si>
    <t>сметная стоимость</t>
  </si>
  <si>
    <t>единица приямых расходов</t>
  </si>
  <si>
    <t>м2</t>
  </si>
  <si>
    <t>тротуары</t>
  </si>
  <si>
    <t>прямые затраты</t>
  </si>
  <si>
    <t xml:space="preserve"> парковка</t>
  </si>
  <si>
    <t>ВСЕГО</t>
  </si>
  <si>
    <t>Стоимость дорожных работ</t>
  </si>
  <si>
    <t>Танспортные расходы</t>
  </si>
  <si>
    <t>Благоустройство дворовой территории жилых домов по ул. Гагарина д.6, ул. Советская д.1</t>
  </si>
  <si>
    <t>Парковка</t>
  </si>
  <si>
    <t>Проезд</t>
  </si>
  <si>
    <t>шт</t>
  </si>
  <si>
    <t>1/1</t>
  </si>
  <si>
    <t>3/1</t>
  </si>
  <si>
    <t>4/1</t>
  </si>
  <si>
    <t>6/2</t>
  </si>
  <si>
    <t>2/1</t>
  </si>
  <si>
    <t>Двор</t>
  </si>
  <si>
    <t>Сводная стоимость работ  по ремонту дворовых территорий  в рамках реализации мунипальной программы "Формирование современной городской среды                                                                                                                                                                      на территории городского поселения "Жешарт" на 2017 год"</t>
  </si>
  <si>
    <t xml:space="preserve"> транспортные расходы</t>
  </si>
  <si>
    <t>дворовая территория с трансп расходами</t>
  </si>
  <si>
    <t>проезд с трансп расходами</t>
  </si>
  <si>
    <t>тротуары с трасп расходами</t>
  </si>
  <si>
    <t>Дворовая территория (дорожные работы)</t>
  </si>
  <si>
    <t>асфальт</t>
  </si>
  <si>
    <t>бетон</t>
  </si>
  <si>
    <t>брусчатка</t>
  </si>
  <si>
    <t xml:space="preserve"> бетон</t>
  </si>
  <si>
    <t xml:space="preserve"> игровой комплекс</t>
  </si>
  <si>
    <t>спорткомплекс</t>
  </si>
  <si>
    <t>стоимость брусчатки</t>
  </si>
  <si>
    <t>п.м</t>
  </si>
  <si>
    <t>РК</t>
  </si>
  <si>
    <t>МБ</t>
  </si>
  <si>
    <t>ФБ</t>
  </si>
  <si>
    <t xml:space="preserve">Сводная стоимость работ  по ремонту дворовых территорий  в рамках реализации мунипальной программы "Формирование современной городской среды                                                                                                                   </t>
  </si>
  <si>
    <t>Общая стоимость работ по благоустьройству</t>
  </si>
  <si>
    <t>стоимость по дополнительному перечню</t>
  </si>
  <si>
    <t>Всего  по дополнительному перечню с  с 5%</t>
  </si>
  <si>
    <t xml:space="preserve">бетонные работы </t>
  </si>
  <si>
    <t>дорожные работы</t>
  </si>
  <si>
    <t>электрические работы</t>
  </si>
  <si>
    <t>урны</t>
  </si>
  <si>
    <t>скамейки</t>
  </si>
  <si>
    <t>детские площадки</t>
  </si>
  <si>
    <t>спортивная площадка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</si>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</sst>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justify"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justify" vertical="justify"/>
    </xf>
    <xf numFmtId="2" fontId="1" fillId="0" borderId="10" xfId="0" applyNumberFormat="1" applyFont="1" applyBorder="1" applyAlignment="1">
      <alignment horizontal="justify" vertical="justify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justify" vertical="justify"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justify"/>
    </xf>
    <xf numFmtId="4" fontId="0" fillId="0" borderId="10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4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9" fontId="4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22" borderId="10" xfId="0" applyNumberFormat="1" applyFill="1" applyBorder="1" applyAlignment="1">
      <alignment/>
    </xf>
    <xf numFmtId="4" fontId="0" fillId="22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2" fontId="4" fillId="0" borderId="10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 horizontal="justify" vertical="justify"/>
    </xf>
    <xf numFmtId="0" fontId="4" fillId="0" borderId="24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25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2" fontId="5" fillId="0" borderId="0" xfId="0" applyNumberFormat="1" applyFont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27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justify"/>
    </xf>
    <xf numFmtId="0" fontId="4" fillId="0" borderId="29" xfId="0" applyFont="1" applyBorder="1" applyAlignment="1">
      <alignment horizontal="center" vertical="justify"/>
    </xf>
    <xf numFmtId="0" fontId="4" fillId="0" borderId="3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F38"/>
  <sheetViews>
    <sheetView zoomScale="75" zoomScaleNormal="75" zoomScalePageLayoutView="0" workbookViewId="0" topLeftCell="M7">
      <selection activeCell="AD14" sqref="AD14"/>
    </sheetView>
  </sheetViews>
  <sheetFormatPr defaultColWidth="9.00390625" defaultRowHeight="12.75"/>
  <cols>
    <col min="1" max="1" width="5.625" style="0" customWidth="1"/>
    <col min="2" max="2" width="20.125" style="0" customWidth="1"/>
    <col min="3" max="3" width="9.875" style="0" customWidth="1"/>
    <col min="4" max="4" width="14.625" style="0" customWidth="1"/>
    <col min="5" max="5" width="10.375" style="0" customWidth="1"/>
    <col min="6" max="6" width="14.125" style="0" customWidth="1"/>
    <col min="7" max="7" width="9.00390625" style="0" customWidth="1"/>
    <col min="8" max="8" width="13.00390625" style="0" customWidth="1"/>
    <col min="9" max="9" width="6.375" style="0" customWidth="1"/>
    <col min="10" max="10" width="10.75390625" style="0" customWidth="1"/>
    <col min="12" max="12" width="13.125" style="0" customWidth="1"/>
    <col min="13" max="13" width="9.25390625" style="0" customWidth="1"/>
    <col min="14" max="14" width="14.625" style="0" customWidth="1"/>
    <col min="15" max="15" width="5.625" style="0" customWidth="1"/>
    <col min="16" max="16" width="11.625" style="0" customWidth="1"/>
    <col min="17" max="17" width="6.625" style="0" customWidth="1"/>
    <col min="18" max="18" width="11.75390625" style="0" customWidth="1"/>
    <col min="19" max="19" width="7.75390625" style="0" customWidth="1"/>
    <col min="20" max="20" width="10.375" style="0" customWidth="1"/>
    <col min="21" max="21" width="11.75390625" style="0" customWidth="1"/>
    <col min="22" max="22" width="11.25390625" style="0" customWidth="1"/>
    <col min="23" max="23" width="11.875" style="0" customWidth="1"/>
    <col min="24" max="24" width="12.125" style="0" customWidth="1"/>
    <col min="25" max="25" width="10.875" style="0" customWidth="1"/>
    <col min="26" max="26" width="11.375" style="0" customWidth="1"/>
    <col min="27" max="27" width="12.875" style="0" customWidth="1"/>
    <col min="28" max="28" width="16.125" style="0" bestFit="1" customWidth="1"/>
    <col min="29" max="29" width="16.00390625" style="0" customWidth="1"/>
    <col min="30" max="30" width="13.25390625" style="0" bestFit="1" customWidth="1"/>
    <col min="31" max="31" width="13.125" style="0" customWidth="1"/>
    <col min="32" max="32" width="14.375" style="0" bestFit="1" customWidth="1"/>
  </cols>
  <sheetData>
    <row r="8" spans="1:31" ht="30.75" customHeight="1">
      <c r="A8" s="2"/>
      <c r="B8" s="66" t="s">
        <v>57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2"/>
      <c r="AC8" s="2"/>
      <c r="AD8" s="2"/>
      <c r="AE8" s="2"/>
    </row>
    <row r="9" spans="1:3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8.75" customHeight="1">
      <c r="A10" s="64" t="s">
        <v>22</v>
      </c>
      <c r="B10" s="64" t="s">
        <v>21</v>
      </c>
      <c r="C10" s="58" t="s">
        <v>62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2" t="s">
        <v>2</v>
      </c>
      <c r="P10" s="62"/>
      <c r="Q10" s="59" t="s">
        <v>3</v>
      </c>
      <c r="R10" s="60"/>
      <c r="S10" s="58" t="s">
        <v>4</v>
      </c>
      <c r="T10" s="58"/>
      <c r="U10" s="64" t="s">
        <v>5</v>
      </c>
      <c r="V10" s="64"/>
      <c r="W10" s="64"/>
      <c r="X10" s="64"/>
      <c r="Y10" s="64"/>
      <c r="Z10" s="64"/>
      <c r="AA10" s="64"/>
      <c r="AB10" s="64" t="s">
        <v>10</v>
      </c>
      <c r="AC10" s="15"/>
      <c r="AD10" s="2"/>
      <c r="AE10" s="2"/>
    </row>
    <row r="11" spans="1:31" ht="15.75" customHeight="1">
      <c r="A11" s="64"/>
      <c r="B11" s="64"/>
      <c r="C11" s="58" t="s">
        <v>56</v>
      </c>
      <c r="D11" s="58"/>
      <c r="E11" s="58" t="s">
        <v>41</v>
      </c>
      <c r="F11" s="58"/>
      <c r="G11" s="58"/>
      <c r="H11" s="58"/>
      <c r="I11" s="58"/>
      <c r="J11" s="58"/>
      <c r="K11" s="58" t="s">
        <v>49</v>
      </c>
      <c r="L11" s="58"/>
      <c r="M11" s="58" t="s">
        <v>48</v>
      </c>
      <c r="N11" s="58"/>
      <c r="O11" s="63"/>
      <c r="P11" s="63"/>
      <c r="Q11" s="60"/>
      <c r="R11" s="60"/>
      <c r="S11" s="61"/>
      <c r="T11" s="61"/>
      <c r="U11" s="59" t="s">
        <v>67</v>
      </c>
      <c r="V11" s="58" t="s">
        <v>6</v>
      </c>
      <c r="W11" s="58" t="s">
        <v>7</v>
      </c>
      <c r="X11" s="59" t="s">
        <v>68</v>
      </c>
      <c r="Y11" s="59" t="s">
        <v>17</v>
      </c>
      <c r="Z11" s="59" t="s">
        <v>8</v>
      </c>
      <c r="AA11" s="59" t="s">
        <v>9</v>
      </c>
      <c r="AB11" s="64"/>
      <c r="AC11" s="15"/>
      <c r="AD11" s="2"/>
      <c r="AE11" s="2"/>
    </row>
    <row r="12" spans="1:31" ht="15.75" customHeight="1">
      <c r="A12" s="64"/>
      <c r="B12" s="64"/>
      <c r="C12" s="58" t="s">
        <v>40</v>
      </c>
      <c r="D12" s="58" t="s">
        <v>1</v>
      </c>
      <c r="E12" s="58" t="s">
        <v>63</v>
      </c>
      <c r="F12" s="58"/>
      <c r="G12" s="58" t="s">
        <v>65</v>
      </c>
      <c r="H12" s="58"/>
      <c r="I12" s="58" t="s">
        <v>64</v>
      </c>
      <c r="J12" s="58"/>
      <c r="K12" s="58" t="s">
        <v>40</v>
      </c>
      <c r="L12" s="58" t="s">
        <v>1</v>
      </c>
      <c r="M12" s="58" t="s">
        <v>40</v>
      </c>
      <c r="N12" s="58" t="s">
        <v>1</v>
      </c>
      <c r="O12" s="58" t="s">
        <v>50</v>
      </c>
      <c r="P12" s="58" t="s">
        <v>1</v>
      </c>
      <c r="Q12" s="58" t="s">
        <v>50</v>
      </c>
      <c r="R12" s="58" t="s">
        <v>1</v>
      </c>
      <c r="S12" s="58" t="s">
        <v>50</v>
      </c>
      <c r="T12" s="58" t="s">
        <v>1</v>
      </c>
      <c r="U12" s="59"/>
      <c r="V12" s="58"/>
      <c r="W12" s="58"/>
      <c r="X12" s="59"/>
      <c r="Y12" s="59"/>
      <c r="Z12" s="59"/>
      <c r="AA12" s="59"/>
      <c r="AB12" s="64"/>
      <c r="AC12" s="15"/>
      <c r="AD12" s="2"/>
      <c r="AE12" s="2"/>
    </row>
    <row r="13" spans="1:31" ht="19.5" customHeight="1">
      <c r="A13" s="64"/>
      <c r="B13" s="64"/>
      <c r="C13" s="58"/>
      <c r="D13" s="58"/>
      <c r="E13" s="21" t="s">
        <v>40</v>
      </c>
      <c r="F13" s="21" t="s">
        <v>1</v>
      </c>
      <c r="G13" s="21" t="s">
        <v>40</v>
      </c>
      <c r="H13" s="21" t="s">
        <v>1</v>
      </c>
      <c r="I13" s="21" t="s">
        <v>40</v>
      </c>
      <c r="J13" s="21" t="s">
        <v>1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65"/>
      <c r="V13" s="61"/>
      <c r="W13" s="61"/>
      <c r="X13" s="65"/>
      <c r="Y13" s="65"/>
      <c r="Z13" s="65"/>
      <c r="AA13" s="65"/>
      <c r="AB13" s="64"/>
      <c r="AC13" s="15" t="s">
        <v>73</v>
      </c>
      <c r="AD13" s="15" t="s">
        <v>71</v>
      </c>
      <c r="AE13" s="15" t="s">
        <v>72</v>
      </c>
    </row>
    <row r="14" spans="1:32" ht="52.5" customHeight="1">
      <c r="A14" s="2">
        <v>1</v>
      </c>
      <c r="B14" s="3" t="s">
        <v>0</v>
      </c>
      <c r="C14" s="4">
        <f>'ДОРОЖНЫЕ РАБОТЫ'!G9</f>
        <v>621</v>
      </c>
      <c r="D14" s="4">
        <f>'ДОРОЖНЫЕ РАБОТЫ'!I9</f>
        <v>764118.3738036964</v>
      </c>
      <c r="E14" s="4">
        <f>'ДОРОЖНЫЕ РАБОТЫ'!M9</f>
        <v>363</v>
      </c>
      <c r="F14" s="4">
        <f>'ДОРОЖНЫЕ РАБОТЫ'!O9</f>
        <v>442505.73784764676</v>
      </c>
      <c r="G14" s="4"/>
      <c r="H14" s="4"/>
      <c r="I14" s="4"/>
      <c r="J14" s="4"/>
      <c r="K14" s="4"/>
      <c r="L14" s="4"/>
      <c r="M14" s="4"/>
      <c r="N14" s="4"/>
      <c r="O14" s="19" t="s">
        <v>51</v>
      </c>
      <c r="P14" s="26">
        <v>20000</v>
      </c>
      <c r="Q14" s="4">
        <v>3</v>
      </c>
      <c r="R14" s="4">
        <f>5700*Q14</f>
        <v>17100</v>
      </c>
      <c r="S14" s="4">
        <v>3</v>
      </c>
      <c r="T14" s="4">
        <f>S14*2500</f>
        <v>7500</v>
      </c>
      <c r="U14" s="4"/>
      <c r="V14" s="4"/>
      <c r="W14" s="4"/>
      <c r="X14" s="4"/>
      <c r="Y14" s="4"/>
      <c r="Z14" s="4"/>
      <c r="AA14" s="4"/>
      <c r="AB14" s="4">
        <f>D14+F14+L14+N14+P14+R14+T14+AA14+J14+H14</f>
        <v>1251224.111651343</v>
      </c>
      <c r="AC14" s="4">
        <f>AC23/AB23*AB14</f>
        <v>551789.7945092104</v>
      </c>
      <c r="AD14" s="4">
        <f aca="true" t="shared" si="0" ref="AD14:AD22">AB14-AC14-AE14</f>
        <v>574311.9576079305</v>
      </c>
      <c r="AE14" s="4">
        <f>AE23/AB23*AB14</f>
        <v>125122.35953420211</v>
      </c>
      <c r="AF14" s="1">
        <f>AC14+AD14+AE14</f>
        <v>1251224.111651343</v>
      </c>
    </row>
    <row r="15" spans="1:32" ht="71.25" customHeight="1">
      <c r="A15" s="2">
        <v>2</v>
      </c>
      <c r="B15" s="5" t="s">
        <v>11</v>
      </c>
      <c r="C15" s="4">
        <f>'ДОРОЖНЫЕ РАБОТЫ'!G10</f>
        <v>733</v>
      </c>
      <c r="D15" s="4">
        <f>'ДОРОЖНЫЕ РАБОТЫ'!I10</f>
        <v>1312813.7170156802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19" t="s">
        <v>52</v>
      </c>
      <c r="P15" s="26">
        <v>41968.61</v>
      </c>
      <c r="Q15" s="4">
        <v>2</v>
      </c>
      <c r="R15" s="4">
        <f>5700*Q15</f>
        <v>11400</v>
      </c>
      <c r="S15" s="4">
        <v>2</v>
      </c>
      <c r="T15" s="4">
        <f>S15*2500</f>
        <v>5000</v>
      </c>
      <c r="U15" s="4">
        <v>228748</v>
      </c>
      <c r="V15" s="4">
        <v>102700</v>
      </c>
      <c r="W15" s="4">
        <v>25147</v>
      </c>
      <c r="X15" s="4">
        <v>63350</v>
      </c>
      <c r="Y15" s="4">
        <f>42*1599</f>
        <v>67158</v>
      </c>
      <c r="Z15" s="4">
        <f>(U15+V15+W15+X15+Y15)*0.21</f>
        <v>102291.62999999999</v>
      </c>
      <c r="AA15" s="4">
        <f>SUM(U15:Z15)</f>
        <v>589394.63</v>
      </c>
      <c r="AB15" s="4">
        <f aca="true" t="shared" si="1" ref="AB15:AB22">D15+F15+L15+N15+P15+R15+T15+AA15+J15+H15</f>
        <v>1960576.9570156801</v>
      </c>
      <c r="AC15" s="4">
        <f>AC23/AB23*AB15</f>
        <v>864614.3773583457</v>
      </c>
      <c r="AD15" s="4">
        <f t="shared" si="0"/>
        <v>899904.9648576727</v>
      </c>
      <c r="AE15" s="4">
        <f>AE23/AB23*AB15</f>
        <v>196057.61479966165</v>
      </c>
      <c r="AF15" s="1">
        <f aca="true" t="shared" si="2" ref="AF15:AF22">AC15+AD15+AE15</f>
        <v>1960576.95701568</v>
      </c>
    </row>
    <row r="16" spans="1:32" ht="78.75" customHeight="1">
      <c r="A16" s="2">
        <v>3</v>
      </c>
      <c r="B16" s="5" t="s">
        <v>12</v>
      </c>
      <c r="C16" s="4">
        <f>'ДОРОЖНЫЕ РАБОТЫ'!G11</f>
        <v>1097</v>
      </c>
      <c r="D16" s="4">
        <f>'ДОРОЖНЫЕ РАБОТЫ'!I11</f>
        <v>1076465.9662763823</v>
      </c>
      <c r="E16" s="4">
        <f>'ДОРОЖНЫЕ РАБОТЫ'!M11</f>
        <v>565</v>
      </c>
      <c r="F16" s="4">
        <f>'ДОРОЖНЫЕ РАБОТЫ'!O11</f>
        <v>825058.3960048977</v>
      </c>
      <c r="G16" s="4">
        <f>29.6+356.5</f>
        <v>386.1</v>
      </c>
      <c r="H16" s="4">
        <f>G16*1681.48-60000</f>
        <v>589219.4280000001</v>
      </c>
      <c r="I16" s="4"/>
      <c r="J16" s="4"/>
      <c r="K16" s="4"/>
      <c r="L16" s="4"/>
      <c r="M16" s="4"/>
      <c r="N16" s="4"/>
      <c r="O16" s="19" t="s">
        <v>53</v>
      </c>
      <c r="P16" s="4">
        <v>57696.23</v>
      </c>
      <c r="Q16" s="4">
        <v>3</v>
      </c>
      <c r="R16" s="4">
        <f aca="true" t="shared" si="3" ref="R16:R21">5700*Q16</f>
        <v>17100</v>
      </c>
      <c r="S16" s="4">
        <v>3</v>
      </c>
      <c r="T16" s="4">
        <v>3555.34</v>
      </c>
      <c r="U16" s="4"/>
      <c r="V16" s="4"/>
      <c r="W16" s="4"/>
      <c r="X16" s="4"/>
      <c r="Y16" s="4"/>
      <c r="Z16" s="4"/>
      <c r="AA16" s="4"/>
      <c r="AB16" s="4">
        <f t="shared" si="1"/>
        <v>2569095.3602812802</v>
      </c>
      <c r="AC16" s="4">
        <f>AC23/AB23*AB16</f>
        <v>1132970.9743630576</v>
      </c>
      <c r="AD16" s="4">
        <f t="shared" si="0"/>
        <v>1179214.955902109</v>
      </c>
      <c r="AE16" s="4">
        <f>AE23/AB23*AB16</f>
        <v>256909.4300161138</v>
      </c>
      <c r="AF16" s="1">
        <f t="shared" si="2"/>
        <v>2569095.3602812807</v>
      </c>
    </row>
    <row r="17" spans="1:32" ht="64.5" customHeight="1">
      <c r="A17" s="2">
        <v>4</v>
      </c>
      <c r="B17" s="5" t="s">
        <v>47</v>
      </c>
      <c r="C17" s="4">
        <f>'ДОРОЖНЫЕ РАБОТЫ'!G12</f>
        <v>471</v>
      </c>
      <c r="D17" s="4">
        <f>'ДОРОЖНЫЕ РАБОТЫ'!I12</f>
        <v>847102.8286558823</v>
      </c>
      <c r="E17" s="4">
        <f>'ДОРОЖНЫЕ РАБОТЫ'!M12</f>
        <v>300</v>
      </c>
      <c r="F17" s="4">
        <f>'ДОРОЖНЫЕ РАБОТЫ'!O12</f>
        <v>339818.1173926856</v>
      </c>
      <c r="G17" s="4"/>
      <c r="H17" s="4"/>
      <c r="I17" s="4"/>
      <c r="J17" s="4"/>
      <c r="K17" s="4"/>
      <c r="L17" s="4"/>
      <c r="M17" s="4"/>
      <c r="N17" s="4"/>
      <c r="O17" s="19"/>
      <c r="P17" s="4"/>
      <c r="Q17" s="4">
        <v>4</v>
      </c>
      <c r="R17" s="4">
        <f t="shared" si="3"/>
        <v>22800</v>
      </c>
      <c r="S17" s="4">
        <v>4</v>
      </c>
      <c r="T17" s="4">
        <f aca="true" t="shared" si="4" ref="T17:T22">S17*2500</f>
        <v>10000</v>
      </c>
      <c r="U17" s="4"/>
      <c r="V17" s="4"/>
      <c r="W17" s="4"/>
      <c r="X17" s="4"/>
      <c r="Y17" s="4"/>
      <c r="Z17" s="4"/>
      <c r="AA17" s="4"/>
      <c r="AB17" s="4">
        <f t="shared" si="1"/>
        <v>1219720.946048568</v>
      </c>
      <c r="AC17" s="4">
        <f>AC23/AB23*AB17</f>
        <v>537896.8994535013</v>
      </c>
      <c r="AD17" s="4">
        <f t="shared" si="0"/>
        <v>559852.0023211848</v>
      </c>
      <c r="AE17" s="4">
        <f>AE23/AB23*AB17</f>
        <v>121972.04427388182</v>
      </c>
      <c r="AF17" s="1">
        <f t="shared" si="2"/>
        <v>1219720.946048568</v>
      </c>
    </row>
    <row r="18" spans="1:32" ht="58.5" customHeight="1">
      <c r="A18" s="2">
        <v>5</v>
      </c>
      <c r="B18" s="5" t="s">
        <v>14</v>
      </c>
      <c r="C18" s="4"/>
      <c r="D18" s="4"/>
      <c r="E18" s="4">
        <f>'ДОРОЖНЫЕ РАБОТЫ'!M13</f>
        <v>612</v>
      </c>
      <c r="F18" s="4">
        <f>'ДОРОЖНЫЕ РАБОТЫ'!O13</f>
        <v>428774.3764346039</v>
      </c>
      <c r="G18" s="4"/>
      <c r="H18" s="4"/>
      <c r="I18" s="4"/>
      <c r="J18" s="4"/>
      <c r="K18" s="4">
        <f>'ДОРОЖНЫЕ РАБОТЫ'!J13</f>
        <v>1297</v>
      </c>
      <c r="L18" s="4">
        <f>'ДОРОЖНЫЕ РАБОТЫ'!L13</f>
        <v>2308217.7815597425</v>
      </c>
      <c r="M18" s="4"/>
      <c r="N18" s="4"/>
      <c r="O18" s="19"/>
      <c r="P18" s="4"/>
      <c r="Q18" s="4">
        <v>4</v>
      </c>
      <c r="R18" s="4">
        <f t="shared" si="3"/>
        <v>22800</v>
      </c>
      <c r="S18" s="4">
        <v>4</v>
      </c>
      <c r="T18" s="4">
        <f t="shared" si="4"/>
        <v>10000</v>
      </c>
      <c r="U18" s="4"/>
      <c r="V18" s="4"/>
      <c r="W18" s="4"/>
      <c r="X18" s="4"/>
      <c r="Y18" s="4"/>
      <c r="Z18" s="4"/>
      <c r="AA18" s="4"/>
      <c r="AB18" s="4">
        <f t="shared" si="1"/>
        <v>2769792.157994346</v>
      </c>
      <c r="AC18" s="4">
        <f>AC23/AB23*AB18</f>
        <v>1221478.255942369</v>
      </c>
      <c r="AD18" s="4">
        <f t="shared" si="0"/>
        <v>1271334.8005461767</v>
      </c>
      <c r="AE18" s="4">
        <f>AE23/AB23*AB18</f>
        <v>276979.10150580027</v>
      </c>
      <c r="AF18" s="1">
        <f t="shared" si="2"/>
        <v>2769792.1579943458</v>
      </c>
    </row>
    <row r="19" spans="1:32" ht="51.75" customHeight="1">
      <c r="A19" s="2">
        <v>6</v>
      </c>
      <c r="B19" s="5" t="s">
        <v>15</v>
      </c>
      <c r="C19" s="4">
        <f>'ДОРОЖНЫЕ РАБОТЫ'!G14</f>
        <v>364</v>
      </c>
      <c r="D19" s="4">
        <f>'ДОРОЖНЫЕ РАБОТЫ'!I14</f>
        <v>578752.0656567999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19"/>
      <c r="P19" s="4"/>
      <c r="Q19" s="4">
        <v>6</v>
      </c>
      <c r="R19" s="4">
        <f t="shared" si="3"/>
        <v>34200</v>
      </c>
      <c r="S19" s="4">
        <v>6</v>
      </c>
      <c r="T19" s="4">
        <f t="shared" si="4"/>
        <v>15000</v>
      </c>
      <c r="U19" s="4"/>
      <c r="V19" s="4"/>
      <c r="W19" s="4"/>
      <c r="X19" s="4"/>
      <c r="Y19" s="4"/>
      <c r="Z19" s="4"/>
      <c r="AA19" s="4"/>
      <c r="AB19" s="4">
        <f t="shared" si="1"/>
        <v>627952.0656567999</v>
      </c>
      <c r="AC19" s="4">
        <f>AC23/AB23*AB19</f>
        <v>276926.8415177027</v>
      </c>
      <c r="AD19" s="4">
        <f t="shared" si="0"/>
        <v>288230.0434854423</v>
      </c>
      <c r="AE19" s="4">
        <f>AE23/AB23*AB19</f>
        <v>62795.18065365495</v>
      </c>
      <c r="AF19" s="1">
        <f t="shared" si="2"/>
        <v>627952.0656567999</v>
      </c>
    </row>
    <row r="20" spans="1:32" ht="72" customHeight="1">
      <c r="A20" s="2">
        <v>7</v>
      </c>
      <c r="B20" s="5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9" t="s">
        <v>54</v>
      </c>
      <c r="P20" s="4">
        <v>111543.55</v>
      </c>
      <c r="Q20" s="4"/>
      <c r="R20" s="4">
        <f t="shared" si="3"/>
        <v>0</v>
      </c>
      <c r="S20" s="4"/>
      <c r="T20" s="4"/>
      <c r="U20" s="4">
        <v>228748</v>
      </c>
      <c r="V20" s="4">
        <v>44715</v>
      </c>
      <c r="W20" s="4">
        <v>25147</v>
      </c>
      <c r="X20" s="4">
        <v>59254</v>
      </c>
      <c r="Y20" s="4"/>
      <c r="Z20" s="4">
        <f>(U20+V20+W20+X20+Y20)*0.214</f>
        <v>76582.896</v>
      </c>
      <c r="AA20" s="4">
        <f>SUM(U20:Z20)</f>
        <v>434446.896</v>
      </c>
      <c r="AB20" s="4">
        <f t="shared" si="1"/>
        <v>545990.446</v>
      </c>
      <c r="AC20" s="4">
        <f>AC23/AB23*AB20</f>
        <v>240781.76978600485</v>
      </c>
      <c r="AD20" s="4">
        <f t="shared" si="0"/>
        <v>250609.65414392838</v>
      </c>
      <c r="AE20" s="4">
        <f>AE23/AB23*AB20</f>
        <v>54599.02207006677</v>
      </c>
      <c r="AF20" s="1">
        <f t="shared" si="2"/>
        <v>545990.446</v>
      </c>
    </row>
    <row r="21" spans="1:32" ht="58.5" customHeight="1">
      <c r="A21" s="2">
        <v>8</v>
      </c>
      <c r="B21" s="5" t="s">
        <v>18</v>
      </c>
      <c r="C21" s="4"/>
      <c r="D21" s="4"/>
      <c r="E21" s="2"/>
      <c r="F21" s="2"/>
      <c r="G21" s="4"/>
      <c r="H21" s="4"/>
      <c r="I21" s="4">
        <v>60</v>
      </c>
      <c r="J21" s="4">
        <v>58554.33</v>
      </c>
      <c r="K21" s="4"/>
      <c r="L21" s="4"/>
      <c r="M21" s="4">
        <v>100</v>
      </c>
      <c r="N21" s="4">
        <f>'ДОРОЖНЫЕ РАБОТЫ'!R16</f>
        <v>183419.52847679995</v>
      </c>
      <c r="O21" s="19"/>
      <c r="P21" s="4"/>
      <c r="Q21" s="4">
        <v>2</v>
      </c>
      <c r="R21" s="4">
        <f t="shared" si="3"/>
        <v>11400</v>
      </c>
      <c r="S21" s="4">
        <v>1</v>
      </c>
      <c r="T21" s="4">
        <f t="shared" si="4"/>
        <v>2500</v>
      </c>
      <c r="U21" s="4"/>
      <c r="V21" s="4"/>
      <c r="W21" s="4"/>
      <c r="X21" s="4"/>
      <c r="Y21" s="4"/>
      <c r="Z21" s="4"/>
      <c r="AA21" s="4"/>
      <c r="AB21" s="4">
        <f t="shared" si="1"/>
        <v>255873.85847679997</v>
      </c>
      <c r="AC21" s="4">
        <f>AC23/AB23*AB21</f>
        <v>112840.36366822734</v>
      </c>
      <c r="AD21" s="4">
        <f t="shared" si="0"/>
        <v>117446.11951935751</v>
      </c>
      <c r="AE21" s="4">
        <f>AE23/AB23*AB21</f>
        <v>25587.37528921512</v>
      </c>
      <c r="AF21" s="1">
        <f t="shared" si="2"/>
        <v>255873.85847679997</v>
      </c>
    </row>
    <row r="22" spans="1:32" ht="53.25" customHeight="1">
      <c r="A22" s="2">
        <v>9</v>
      </c>
      <c r="B22" s="5" t="s">
        <v>19</v>
      </c>
      <c r="C22" s="8">
        <f>'ДОРОЖНЫЕ РАБОТЫ'!G17</f>
        <v>490</v>
      </c>
      <c r="D22" s="8">
        <f>'ДОРОЖНЫЕ РАБОТЫ'!I17</f>
        <v>810637.734864048</v>
      </c>
      <c r="E22" s="8">
        <v>54</v>
      </c>
      <c r="F22" s="28">
        <f>'ДОРОЖНЫЕ РАБОТЫ'!O17</f>
        <v>57814.89216547033</v>
      </c>
      <c r="G22" s="8"/>
      <c r="H22" s="8"/>
      <c r="I22" s="8"/>
      <c r="J22" s="8"/>
      <c r="K22" s="8"/>
      <c r="L22" s="8"/>
      <c r="M22" s="8"/>
      <c r="N22" s="8"/>
      <c r="O22" s="20" t="s">
        <v>55</v>
      </c>
      <c r="P22" s="8">
        <v>32428.47</v>
      </c>
      <c r="Q22" s="8">
        <v>2</v>
      </c>
      <c r="R22" s="8">
        <f>5634*Q22</f>
        <v>11268</v>
      </c>
      <c r="S22" s="8">
        <v>2</v>
      </c>
      <c r="T22" s="4">
        <f t="shared" si="4"/>
        <v>5000</v>
      </c>
      <c r="U22" s="17"/>
      <c r="V22" s="17"/>
      <c r="W22" s="17"/>
      <c r="X22" s="17"/>
      <c r="Y22" s="17"/>
      <c r="Z22" s="17"/>
      <c r="AA22" s="17"/>
      <c r="AB22" s="4">
        <f t="shared" si="1"/>
        <v>917149.0970295182</v>
      </c>
      <c r="AC22" s="4">
        <f>AC23/AB23*AB22</f>
        <v>404462.7234015807</v>
      </c>
      <c r="AD22" s="4">
        <f t="shared" si="0"/>
        <v>420971.5017705342</v>
      </c>
      <c r="AE22" s="4">
        <f>AE23/AB23*AB22</f>
        <v>91714.8718574033</v>
      </c>
      <c r="AF22" s="1">
        <f t="shared" si="2"/>
        <v>917149.0970295182</v>
      </c>
    </row>
    <row r="23" spans="1:31" ht="12.75">
      <c r="A23" s="2"/>
      <c r="B23" s="6" t="s">
        <v>20</v>
      </c>
      <c r="C23" s="17">
        <f>SUM(C14:C22)</f>
        <v>3776</v>
      </c>
      <c r="D23" s="17">
        <f aca="true" t="shared" si="5" ref="D23:AB23">SUM(D14:D22)</f>
        <v>5389890.686272489</v>
      </c>
      <c r="E23" s="17">
        <f t="shared" si="5"/>
        <v>1894</v>
      </c>
      <c r="F23" s="17">
        <f t="shared" si="5"/>
        <v>2093971.5198453043</v>
      </c>
      <c r="G23" s="17">
        <f aca="true" t="shared" si="6" ref="G23:N23">SUM(G14:G22)</f>
        <v>386.1</v>
      </c>
      <c r="H23" s="17">
        <f t="shared" si="6"/>
        <v>589219.4280000001</v>
      </c>
      <c r="I23" s="17">
        <f t="shared" si="6"/>
        <v>60</v>
      </c>
      <c r="J23" s="17">
        <f t="shared" si="6"/>
        <v>58554.33</v>
      </c>
      <c r="K23" s="17">
        <f t="shared" si="6"/>
        <v>1297</v>
      </c>
      <c r="L23" s="17">
        <f t="shared" si="6"/>
        <v>2308217.7815597425</v>
      </c>
      <c r="M23" s="17">
        <f t="shared" si="6"/>
        <v>100</v>
      </c>
      <c r="N23" s="17">
        <f t="shared" si="6"/>
        <v>183419.52847679995</v>
      </c>
      <c r="O23" s="17">
        <f t="shared" si="5"/>
        <v>0</v>
      </c>
      <c r="P23" s="17">
        <f t="shared" si="5"/>
        <v>263636.86</v>
      </c>
      <c r="Q23" s="17">
        <f t="shared" si="5"/>
        <v>26</v>
      </c>
      <c r="R23" s="17">
        <f t="shared" si="5"/>
        <v>148068</v>
      </c>
      <c r="S23" s="17">
        <f t="shared" si="5"/>
        <v>25</v>
      </c>
      <c r="T23" s="17">
        <f t="shared" si="5"/>
        <v>58555.34</v>
      </c>
      <c r="U23" s="17">
        <f t="shared" si="5"/>
        <v>457496</v>
      </c>
      <c r="V23" s="17">
        <f t="shared" si="5"/>
        <v>147415</v>
      </c>
      <c r="W23" s="17">
        <f t="shared" si="5"/>
        <v>50294</v>
      </c>
      <c r="X23" s="17">
        <f t="shared" si="5"/>
        <v>122604</v>
      </c>
      <c r="Y23" s="17">
        <f t="shared" si="5"/>
        <v>67158</v>
      </c>
      <c r="Z23" s="17">
        <f t="shared" si="5"/>
        <v>178874.52599999998</v>
      </c>
      <c r="AA23" s="17">
        <f t="shared" si="5"/>
        <v>1023841.5260000001</v>
      </c>
      <c r="AB23" s="17">
        <f t="shared" si="5"/>
        <v>12117375.000154337</v>
      </c>
      <c r="AC23" s="17">
        <v>5343762</v>
      </c>
      <c r="AD23" s="17">
        <v>5561876</v>
      </c>
      <c r="AE23" s="17">
        <v>1211737</v>
      </c>
    </row>
    <row r="24" spans="1:32" ht="12.75">
      <c r="A24" s="2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>
        <f>SUM(AC14:AC22)</f>
        <v>5343762</v>
      </c>
      <c r="AD24" s="4">
        <f>SUM(AD14:AD22)</f>
        <v>5561876.000154337</v>
      </c>
      <c r="AE24" s="4">
        <f>SUM(AE14:AE22)</f>
        <v>1211736.9999999998</v>
      </c>
      <c r="AF24" s="4">
        <f>SUM(AF14:AF22)</f>
        <v>12117375.000154337</v>
      </c>
    </row>
    <row r="25" spans="1:32" ht="12.75">
      <c r="A25" s="2"/>
      <c r="B25" s="2"/>
      <c r="C25" s="2"/>
      <c r="D25" s="2"/>
      <c r="E25" s="2"/>
      <c r="F25" s="2" t="s">
        <v>63</v>
      </c>
      <c r="G25" s="2"/>
      <c r="H25" s="2"/>
      <c r="I25" s="2"/>
      <c r="J25" s="2"/>
      <c r="K25" s="2"/>
      <c r="L25" s="2"/>
      <c r="M25" s="2"/>
      <c r="N25" s="4">
        <f>D23+F23+L23+N23</f>
        <v>9975499.516154336</v>
      </c>
      <c r="O25" s="2"/>
      <c r="P25" s="4"/>
      <c r="Q25" s="2"/>
      <c r="R25" s="4"/>
      <c r="S25" s="2"/>
      <c r="T25" s="4"/>
      <c r="U25" s="4"/>
      <c r="V25" s="4"/>
      <c r="W25" s="4"/>
      <c r="X25" s="4"/>
      <c r="Y25" s="4"/>
      <c r="Z25" s="4"/>
      <c r="AA25" s="4"/>
      <c r="AB25" s="4"/>
      <c r="AC25" s="4"/>
      <c r="AD25" s="2"/>
      <c r="AE25" s="2"/>
      <c r="AF25" s="1"/>
    </row>
    <row r="26" spans="1:31" ht="12.75">
      <c r="A26" s="2"/>
      <c r="B26" s="2"/>
      <c r="C26" s="2"/>
      <c r="D26" s="2"/>
      <c r="E26" s="2"/>
      <c r="F26" s="2" t="s">
        <v>64</v>
      </c>
      <c r="G26" s="2"/>
      <c r="H26" s="2"/>
      <c r="I26" s="2"/>
      <c r="J26" s="2"/>
      <c r="K26" s="2"/>
      <c r="L26" s="2"/>
      <c r="M26" s="2"/>
      <c r="N26" s="4">
        <f>J21</f>
        <v>58554.33</v>
      </c>
      <c r="O26" s="2"/>
      <c r="P26" s="4"/>
      <c r="Q26" s="2"/>
      <c r="R26" s="4"/>
      <c r="S26" s="2"/>
      <c r="T26" s="4"/>
      <c r="U26" s="4"/>
      <c r="V26" s="4"/>
      <c r="W26" s="4"/>
      <c r="X26" s="4"/>
      <c r="Y26" s="4"/>
      <c r="Z26" s="4"/>
      <c r="AA26" s="4"/>
      <c r="AB26" s="11">
        <v>12117375</v>
      </c>
      <c r="AC26" s="11"/>
      <c r="AD26" s="2"/>
      <c r="AE26" s="2"/>
    </row>
    <row r="27" spans="6:29" ht="12.75">
      <c r="F27" t="s">
        <v>65</v>
      </c>
      <c r="N27" s="1">
        <f>H23</f>
        <v>589219.4280000001</v>
      </c>
      <c r="P27" s="1"/>
      <c r="R27" s="1"/>
      <c r="T27" s="1"/>
      <c r="U27" s="1"/>
      <c r="V27" s="1"/>
      <c r="W27" s="1"/>
      <c r="X27" s="1"/>
      <c r="Y27" s="1"/>
      <c r="Z27" s="1"/>
      <c r="AA27" s="1"/>
      <c r="AB27" s="23"/>
      <c r="AC27" s="23"/>
    </row>
    <row r="28" spans="6:29" ht="12.75">
      <c r="F28" t="s">
        <v>9</v>
      </c>
      <c r="L28" s="1"/>
      <c r="N28" s="1">
        <f>SUM(N25:N27)</f>
        <v>10623273.274154335</v>
      </c>
      <c r="P28" s="1"/>
      <c r="R28" s="1"/>
      <c r="T28" s="1"/>
      <c r="U28" s="1"/>
      <c r="V28" s="1"/>
      <c r="W28" s="1"/>
      <c r="X28" s="1"/>
      <c r="Y28" s="1"/>
      <c r="Z28" s="1"/>
      <c r="AA28" s="1"/>
      <c r="AB28" s="1">
        <f>AB26-AB23</f>
        <v>-0.00015433691442012787</v>
      </c>
      <c r="AC28" s="1"/>
    </row>
    <row r="29" spans="16:29" ht="12.75">
      <c r="P29" s="1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6:29" ht="12.75">
      <c r="P30" s="1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6:29" ht="12.75">
      <c r="P31" s="1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6:29" ht="12.75">
      <c r="F32" t="s">
        <v>69</v>
      </c>
      <c r="H32">
        <v>1681.48</v>
      </c>
      <c r="P32" s="1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6:29" ht="12.75">
      <c r="P33" s="1"/>
      <c r="R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8:29" ht="12.75"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8:29" ht="12.75"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8:29" ht="12.75"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1:29" ht="12.75">
      <c r="U37" s="1"/>
      <c r="V37" s="1"/>
      <c r="W37" s="1"/>
      <c r="X37" s="1"/>
      <c r="Y37" s="1"/>
      <c r="Z37" s="1"/>
      <c r="AA37" s="1"/>
      <c r="AB37" s="1"/>
      <c r="AC37" s="1"/>
    </row>
    <row r="38" spans="21:29" ht="12.75">
      <c r="U38" s="1"/>
      <c r="V38" s="1"/>
      <c r="W38" s="1"/>
      <c r="X38" s="1"/>
      <c r="Y38" s="1"/>
      <c r="Z38" s="1"/>
      <c r="AA38" s="1"/>
      <c r="AB38" s="1"/>
      <c r="AC38" s="1"/>
    </row>
  </sheetData>
  <sheetProtection/>
  <mergeCells count="35">
    <mergeCell ref="C11:D11"/>
    <mergeCell ref="C12:C13"/>
    <mergeCell ref="B8:AA8"/>
    <mergeCell ref="U10:AA10"/>
    <mergeCell ref="O12:O13"/>
    <mergeCell ref="D12:D13"/>
    <mergeCell ref="W11:W13"/>
    <mergeCell ref="U11:U13"/>
    <mergeCell ref="V11:V13"/>
    <mergeCell ref="T12:T13"/>
    <mergeCell ref="AB10:AB13"/>
    <mergeCell ref="B10:B13"/>
    <mergeCell ref="K11:L11"/>
    <mergeCell ref="M11:N11"/>
    <mergeCell ref="Z11:Z13"/>
    <mergeCell ref="AA11:AA13"/>
    <mergeCell ref="C10:N10"/>
    <mergeCell ref="I12:J12"/>
    <mergeCell ref="S12:S13"/>
    <mergeCell ref="Q12:Q13"/>
    <mergeCell ref="A10:A13"/>
    <mergeCell ref="X11:X13"/>
    <mergeCell ref="Y11:Y13"/>
    <mergeCell ref="E12:F12"/>
    <mergeCell ref="G12:H12"/>
    <mergeCell ref="M12:M13"/>
    <mergeCell ref="N12:N13"/>
    <mergeCell ref="P12:P13"/>
    <mergeCell ref="R12:R13"/>
    <mergeCell ref="L12:L13"/>
    <mergeCell ref="K12:K13"/>
    <mergeCell ref="Q10:R11"/>
    <mergeCell ref="S10:T11"/>
    <mergeCell ref="E11:J11"/>
    <mergeCell ref="O10:P11"/>
  </mergeCells>
  <printOptions/>
  <pageMargins left="0.26" right="0.18" top="0.38" bottom="0.6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A33"/>
  <sheetViews>
    <sheetView zoomScalePageLayoutView="0" workbookViewId="0" topLeftCell="A8">
      <selection activeCell="B8" sqref="B8:AA8"/>
    </sheetView>
  </sheetViews>
  <sheetFormatPr defaultColWidth="9.00390625" defaultRowHeight="12.75"/>
  <cols>
    <col min="1" max="1" width="5.625" style="0" customWidth="1"/>
    <col min="2" max="2" width="20.125" style="0" customWidth="1"/>
    <col min="3" max="3" width="6.25390625" style="0" customWidth="1"/>
    <col min="4" max="4" width="12.125" style="0" customWidth="1"/>
    <col min="5" max="5" width="5.25390625" style="0" customWidth="1"/>
    <col min="6" max="6" width="11.375" style="0" customWidth="1"/>
    <col min="7" max="7" width="5.00390625" style="0" customWidth="1"/>
    <col min="8" max="8" width="10.25390625" style="0" customWidth="1"/>
    <col min="9" max="9" width="5.375" style="0" customWidth="1"/>
    <col min="10" max="10" width="8.25390625" style="0" customWidth="1"/>
    <col min="11" max="11" width="5.875" style="0" customWidth="1"/>
    <col min="12" max="12" width="10.125" style="0" customWidth="1"/>
    <col min="13" max="13" width="6.625" style="0" customWidth="1"/>
    <col min="14" max="14" width="8.625" style="0" customWidth="1"/>
    <col min="15" max="15" width="8.75390625" style="0" customWidth="1"/>
    <col min="16" max="16" width="8.125" style="0" customWidth="1"/>
    <col min="17" max="17" width="8.00390625" style="0" customWidth="1"/>
    <col min="18" max="18" width="8.25390625" style="0" customWidth="1"/>
    <col min="19" max="19" width="8.125" style="0" customWidth="1"/>
    <col min="20" max="20" width="8.75390625" style="0" customWidth="1"/>
    <col min="21" max="21" width="8.625" style="0" customWidth="1"/>
    <col min="22" max="23" width="8.00390625" style="0" customWidth="1"/>
    <col min="24" max="24" width="12.00390625" style="0" customWidth="1"/>
    <col min="25" max="26" width="11.75390625" style="0" bestFit="1" customWidth="1"/>
    <col min="27" max="27" width="10.125" style="0" bestFit="1" customWidth="1"/>
  </cols>
  <sheetData>
    <row r="8" spans="2:23" ht="30.75" customHeight="1">
      <c r="B8" s="75" t="s">
        <v>36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10" spans="1:27" ht="24.75" customHeight="1">
      <c r="A10" s="64" t="s">
        <v>22</v>
      </c>
      <c r="B10" s="64" t="s">
        <v>21</v>
      </c>
      <c r="C10" s="67" t="s">
        <v>24</v>
      </c>
      <c r="D10" s="68"/>
      <c r="E10" s="68"/>
      <c r="F10" s="69"/>
      <c r="G10" s="59" t="s">
        <v>2</v>
      </c>
      <c r="H10" s="59"/>
      <c r="I10" s="59" t="s">
        <v>3</v>
      </c>
      <c r="J10" s="59"/>
      <c r="K10" s="64" t="s">
        <v>4</v>
      </c>
      <c r="L10" s="64"/>
      <c r="M10" s="64" t="s">
        <v>17</v>
      </c>
      <c r="N10" s="64"/>
      <c r="O10" s="64" t="s">
        <v>27</v>
      </c>
      <c r="P10" s="64"/>
      <c r="Q10" s="64"/>
      <c r="R10" s="64"/>
      <c r="S10" s="64"/>
      <c r="T10" s="64"/>
      <c r="U10" s="64"/>
      <c r="V10" s="64"/>
      <c r="W10" s="64"/>
      <c r="X10" s="64" t="s">
        <v>10</v>
      </c>
      <c r="Y10" s="2"/>
      <c r="Z10" s="2"/>
      <c r="AA10" s="2"/>
    </row>
    <row r="11" spans="1:27" ht="15" customHeight="1">
      <c r="A11" s="64"/>
      <c r="B11" s="64"/>
      <c r="C11" s="70" t="s">
        <v>66</v>
      </c>
      <c r="D11" s="71"/>
      <c r="E11" s="71" t="s">
        <v>65</v>
      </c>
      <c r="F11" s="74"/>
      <c r="G11" s="59"/>
      <c r="H11" s="72" t="s">
        <v>1</v>
      </c>
      <c r="I11" s="59"/>
      <c r="J11" s="72" t="s">
        <v>1</v>
      </c>
      <c r="K11" s="64"/>
      <c r="L11" s="72" t="s">
        <v>1</v>
      </c>
      <c r="M11" s="64" t="s">
        <v>70</v>
      </c>
      <c r="N11" s="72" t="s">
        <v>1</v>
      </c>
      <c r="O11" s="64" t="s">
        <v>30</v>
      </c>
      <c r="P11" s="64"/>
      <c r="Q11" s="64"/>
      <c r="R11" s="64" t="s">
        <v>29</v>
      </c>
      <c r="S11" s="64"/>
      <c r="T11" s="64"/>
      <c r="U11" s="64" t="s">
        <v>33</v>
      </c>
      <c r="V11" s="64"/>
      <c r="W11" s="64"/>
      <c r="X11" s="64"/>
      <c r="Y11" s="15"/>
      <c r="Z11" s="2"/>
      <c r="AA11" s="2"/>
    </row>
    <row r="12" spans="1:27" ht="27" customHeight="1">
      <c r="A12" s="64"/>
      <c r="B12" s="64"/>
      <c r="C12" s="22" t="s">
        <v>40</v>
      </c>
      <c r="D12" s="22" t="s">
        <v>1</v>
      </c>
      <c r="E12" s="22" t="s">
        <v>40</v>
      </c>
      <c r="F12" s="22" t="s">
        <v>1</v>
      </c>
      <c r="G12" s="59"/>
      <c r="H12" s="73"/>
      <c r="I12" s="59"/>
      <c r="J12" s="73"/>
      <c r="K12" s="64"/>
      <c r="L12" s="73"/>
      <c r="M12" s="64"/>
      <c r="N12" s="73"/>
      <c r="O12" s="13" t="s">
        <v>31</v>
      </c>
      <c r="P12" s="13" t="s">
        <v>8</v>
      </c>
      <c r="Q12" s="13" t="s">
        <v>32</v>
      </c>
      <c r="R12" s="13" t="s">
        <v>31</v>
      </c>
      <c r="S12" s="13" t="s">
        <v>8</v>
      </c>
      <c r="T12" s="13" t="s">
        <v>32</v>
      </c>
      <c r="U12" s="7" t="s">
        <v>28</v>
      </c>
      <c r="V12" s="13" t="s">
        <v>34</v>
      </c>
      <c r="W12" s="7" t="s">
        <v>9</v>
      </c>
      <c r="X12" s="64"/>
      <c r="Y12" s="15" t="s">
        <v>73</v>
      </c>
      <c r="Z12" s="15" t="s">
        <v>71</v>
      </c>
      <c r="AA12" s="15" t="s">
        <v>72</v>
      </c>
    </row>
    <row r="13" spans="1:27" ht="66.75" customHeight="1">
      <c r="A13" s="2">
        <v>1</v>
      </c>
      <c r="B13" s="14" t="s">
        <v>23</v>
      </c>
      <c r="C13" s="10">
        <v>434</v>
      </c>
      <c r="D13" s="4">
        <v>423542.96</v>
      </c>
      <c r="E13" s="4"/>
      <c r="F13" s="4"/>
      <c r="G13" s="25">
        <v>8</v>
      </c>
      <c r="H13" s="27">
        <v>161196.85</v>
      </c>
      <c r="I13" s="2">
        <v>4</v>
      </c>
      <c r="J13" s="10">
        <f>5700*I13</f>
        <v>22800</v>
      </c>
      <c r="K13" s="2">
        <v>3</v>
      </c>
      <c r="L13" s="10">
        <f>K13*2500</f>
        <v>7500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>
        <f>W13+T13+Q13+N13+L13+J13+H15+D13+F13</f>
        <v>531414.27</v>
      </c>
      <c r="Y13" s="4">
        <f>X13-Z13-AA13</f>
        <v>234353.541242138</v>
      </c>
      <c r="Z13" s="4">
        <f>Z18/X18*X13</f>
        <v>243918.95968468933</v>
      </c>
      <c r="AA13" s="4">
        <f>AA18/X18*X13</f>
        <v>53141.769073172734</v>
      </c>
    </row>
    <row r="14" spans="1:27" ht="72.75" customHeight="1">
      <c r="A14" s="2">
        <v>2</v>
      </c>
      <c r="B14" s="5" t="s">
        <v>25</v>
      </c>
      <c r="C14" s="10">
        <v>1569</v>
      </c>
      <c r="D14" s="4">
        <f>C14*975.91</f>
        <v>1531202.79</v>
      </c>
      <c r="E14" s="10">
        <f>540+429</f>
        <v>969</v>
      </c>
      <c r="F14" s="26">
        <v>1453500</v>
      </c>
      <c r="G14" s="2">
        <v>6</v>
      </c>
      <c r="H14" s="4">
        <v>77571.31</v>
      </c>
      <c r="I14" s="2">
        <v>8</v>
      </c>
      <c r="J14" s="10">
        <f>5700*I14</f>
        <v>45600</v>
      </c>
      <c r="K14" s="2">
        <v>5</v>
      </c>
      <c r="L14" s="10">
        <f>K14*2500</f>
        <v>12500</v>
      </c>
      <c r="M14" s="2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f>W14+T14+Q14+N14+L14+J14+H14+D14+F14</f>
        <v>3120374.1</v>
      </c>
      <c r="Y14" s="4">
        <f>X14-Z14-AA14</f>
        <v>1376084.0865926486</v>
      </c>
      <c r="Z14" s="4">
        <f>Z18/X18*X14</f>
        <v>1432250.5948119322</v>
      </c>
      <c r="AA14" s="4">
        <f>AA18/X18*X14</f>
        <v>312039.4185954194</v>
      </c>
    </row>
    <row r="15" spans="1:27" ht="66" customHeight="1">
      <c r="A15" s="2">
        <v>3</v>
      </c>
      <c r="B15" s="5" t="s">
        <v>26</v>
      </c>
      <c r="C15" s="4"/>
      <c r="D15" s="4"/>
      <c r="E15" s="24">
        <v>283</v>
      </c>
      <c r="F15" s="26">
        <f>E15*1681.48</f>
        <v>475858.84</v>
      </c>
      <c r="G15" s="25">
        <v>6</v>
      </c>
      <c r="H15" s="4">
        <f>77571.31</f>
        <v>77571.31</v>
      </c>
      <c r="I15" s="2">
        <v>6</v>
      </c>
      <c r="J15" s="10">
        <f>5700*I15</f>
        <v>34200</v>
      </c>
      <c r="K15" s="2">
        <v>6</v>
      </c>
      <c r="L15" s="10">
        <f>K15*2500</f>
        <v>15000</v>
      </c>
      <c r="M15" s="10">
        <v>380</v>
      </c>
      <c r="N15" s="10">
        <v>327361.48</v>
      </c>
      <c r="O15" s="10"/>
      <c r="P15" s="10"/>
      <c r="Q15" s="10"/>
      <c r="R15" s="10"/>
      <c r="S15" s="10"/>
      <c r="T15" s="10"/>
      <c r="U15" s="10"/>
      <c r="V15" s="10"/>
      <c r="W15" s="10"/>
      <c r="X15" s="10">
        <f>W15+T15+Q15+N15+L15+J15+H15+D15+F15</f>
        <v>929991.63</v>
      </c>
      <c r="Y15" s="4">
        <f>X15-Z15-AA15</f>
        <v>410126.0431264823</v>
      </c>
      <c r="Z15" s="4">
        <f>Z18/X18*X15</f>
        <v>426865.82523474295</v>
      </c>
      <c r="AA15" s="4">
        <f>AA18/X18*X15</f>
        <v>92999.76163877477</v>
      </c>
    </row>
    <row r="16" spans="1:27" ht="79.5" customHeight="1">
      <c r="A16" s="2">
        <v>4</v>
      </c>
      <c r="B16" s="5" t="s">
        <v>37</v>
      </c>
      <c r="C16" s="4"/>
      <c r="D16" s="4"/>
      <c r="E16" s="4"/>
      <c r="F16" s="4"/>
      <c r="G16" s="2"/>
      <c r="H16" s="4"/>
      <c r="I16" s="2">
        <v>2</v>
      </c>
      <c r="J16" s="10">
        <f>5700*I16</f>
        <v>11400</v>
      </c>
      <c r="K16" s="2">
        <v>2</v>
      </c>
      <c r="L16" s="10">
        <f>K16*2500</f>
        <v>5000</v>
      </c>
      <c r="M16" s="10"/>
      <c r="N16" s="10"/>
      <c r="O16" s="10">
        <f>400298-5000-69702</f>
        <v>325596</v>
      </c>
      <c r="P16" s="10">
        <v>69702</v>
      </c>
      <c r="Q16" s="10">
        <f>SUM(O16:P16)</f>
        <v>395298</v>
      </c>
      <c r="R16" s="10">
        <v>314943</v>
      </c>
      <c r="S16" s="10">
        <v>35000</v>
      </c>
      <c r="T16" s="10">
        <f>SUM(R16:S16)</f>
        <v>349943</v>
      </c>
      <c r="U16" s="10">
        <v>525195</v>
      </c>
      <c r="V16" s="10">
        <f>33675+40000</f>
        <v>73675</v>
      </c>
      <c r="W16" s="10">
        <f>SUM(U16:V16)</f>
        <v>598870</v>
      </c>
      <c r="X16" s="10">
        <f>W16+T16+Q16+N16+L16+J16+H16+D16+F16</f>
        <v>1360511</v>
      </c>
      <c r="Y16" s="4">
        <f>X16-Z16-AA16</f>
        <v>599984.9622948257</v>
      </c>
      <c r="Z16" s="4">
        <f>Z18/X18*X16</f>
        <v>624474.061939617</v>
      </c>
      <c r="AA16" s="4">
        <f>AA18/X18*X16</f>
        <v>136051.97576555726</v>
      </c>
    </row>
    <row r="17" spans="1:27" ht="27" customHeight="1">
      <c r="A17" s="2">
        <v>5</v>
      </c>
      <c r="B17" s="5" t="s">
        <v>35</v>
      </c>
      <c r="C17" s="4"/>
      <c r="D17" s="4"/>
      <c r="E17" s="4"/>
      <c r="F17" s="4"/>
      <c r="G17" s="2">
        <v>8</v>
      </c>
      <c r="H17" s="4">
        <v>100000</v>
      </c>
      <c r="I17" s="2">
        <v>2</v>
      </c>
      <c r="J17" s="10">
        <f>5700*I17</f>
        <v>11400</v>
      </c>
      <c r="K17" s="2">
        <v>2</v>
      </c>
      <c r="L17" s="10">
        <f>K17*2500</f>
        <v>5000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>
        <f>W17+T17+Q17+N17+L17+J17+H17+D17+F17</f>
        <v>116400</v>
      </c>
      <c r="Y17" s="4">
        <f>X17-Z17-AA17</f>
        <v>51332.36674390557</v>
      </c>
      <c r="Z17" s="4">
        <f>Z18/X18*X17</f>
        <v>53427.5583290186</v>
      </c>
      <c r="AA17" s="4">
        <f>AA18/X18*X17</f>
        <v>11640.074927075832</v>
      </c>
    </row>
    <row r="18" spans="1:27" ht="12.75">
      <c r="A18" s="2"/>
      <c r="B18" s="6" t="s">
        <v>20</v>
      </c>
      <c r="C18" s="11">
        <f>SUM(C13:C17)</f>
        <v>2003</v>
      </c>
      <c r="D18" s="11">
        <f aca="true" t="shared" si="0" ref="D18:X18">SUM(D13:D17)</f>
        <v>1954745.75</v>
      </c>
      <c r="E18" s="11">
        <f t="shared" si="0"/>
        <v>1252</v>
      </c>
      <c r="F18" s="11">
        <f t="shared" si="0"/>
        <v>1929358.84</v>
      </c>
      <c r="G18" s="11">
        <f t="shared" si="0"/>
        <v>28</v>
      </c>
      <c r="H18" s="11">
        <f>SUM(H14:H17)</f>
        <v>255142.62</v>
      </c>
      <c r="I18" s="11">
        <f t="shared" si="0"/>
        <v>22</v>
      </c>
      <c r="J18" s="11">
        <f t="shared" si="0"/>
        <v>125400</v>
      </c>
      <c r="K18" s="11">
        <f t="shared" si="0"/>
        <v>18</v>
      </c>
      <c r="L18" s="11">
        <f t="shared" si="0"/>
        <v>45000</v>
      </c>
      <c r="M18" s="11">
        <f>SUM(M14:M17)</f>
        <v>380</v>
      </c>
      <c r="N18" s="11">
        <f t="shared" si="0"/>
        <v>327361.48</v>
      </c>
      <c r="O18" s="11">
        <f t="shared" si="0"/>
        <v>325596</v>
      </c>
      <c r="P18" s="11">
        <f t="shared" si="0"/>
        <v>69702</v>
      </c>
      <c r="Q18" s="11">
        <f t="shared" si="0"/>
        <v>395298</v>
      </c>
      <c r="R18" s="11">
        <f t="shared" si="0"/>
        <v>314943</v>
      </c>
      <c r="S18" s="11">
        <f t="shared" si="0"/>
        <v>35000</v>
      </c>
      <c r="T18" s="11">
        <f t="shared" si="0"/>
        <v>349943</v>
      </c>
      <c r="U18" s="11">
        <f t="shared" si="0"/>
        <v>525195</v>
      </c>
      <c r="V18" s="11">
        <f t="shared" si="0"/>
        <v>73675</v>
      </c>
      <c r="W18" s="11">
        <f t="shared" si="0"/>
        <v>598870</v>
      </c>
      <c r="X18" s="17">
        <f t="shared" si="0"/>
        <v>6058691</v>
      </c>
      <c r="Y18" s="17">
        <v>2671881</v>
      </c>
      <c r="Z18" s="17">
        <v>2780937</v>
      </c>
      <c r="AA18" s="17">
        <v>605873</v>
      </c>
    </row>
    <row r="19" spans="8:27" ht="12.75">
      <c r="H19" s="1"/>
      <c r="J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>
        <f>SUM(Y13:Y17)</f>
        <v>2671881</v>
      </c>
      <c r="Z19" s="1">
        <f>SUM(Z13:Z17)</f>
        <v>2780937.0000000005</v>
      </c>
      <c r="AA19" s="1">
        <f>SUM(AA13:AA17)</f>
        <v>605873</v>
      </c>
    </row>
    <row r="20" spans="8:24" ht="12.75">
      <c r="H20" s="1"/>
      <c r="J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2">
        <v>6058691</v>
      </c>
    </row>
    <row r="21" spans="8:24" ht="12.75">
      <c r="H21" s="1"/>
      <c r="J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>X20-X18</f>
        <v>0</v>
      </c>
    </row>
    <row r="22" spans="6:24" ht="12.75">
      <c r="F22" s="1"/>
      <c r="H22" s="1"/>
      <c r="J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8:24" ht="12.75">
      <c r="H23" s="1"/>
      <c r="J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6:24" ht="12.75">
      <c r="F24" s="1"/>
      <c r="H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4:24" ht="12.75">
      <c r="D25" t="s">
        <v>69</v>
      </c>
      <c r="F25">
        <v>1520.48</v>
      </c>
      <c r="H25" s="1"/>
      <c r="J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8:24" ht="12.75">
      <c r="H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8:24" ht="12.75">
      <c r="H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8:24" ht="12.75">
      <c r="H28" s="1"/>
      <c r="J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0:24" ht="12.75">
      <c r="J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0:24" ht="12.75"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0:24" ht="12.75">
      <c r="J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</sheetData>
  <sheetProtection/>
  <mergeCells count="23">
    <mergeCell ref="B8:W8"/>
    <mergeCell ref="H11:H12"/>
    <mergeCell ref="G11:G12"/>
    <mergeCell ref="I11:I12"/>
    <mergeCell ref="J11:J12"/>
    <mergeCell ref="K11:K12"/>
    <mergeCell ref="L11:L12"/>
    <mergeCell ref="A10:A12"/>
    <mergeCell ref="M10:N10"/>
    <mergeCell ref="O11:Q11"/>
    <mergeCell ref="R11:T11"/>
    <mergeCell ref="M11:M12"/>
    <mergeCell ref="N11:N12"/>
    <mergeCell ref="O10:W10"/>
    <mergeCell ref="E11:F11"/>
    <mergeCell ref="X10:X12"/>
    <mergeCell ref="B10:B12"/>
    <mergeCell ref="G10:H10"/>
    <mergeCell ref="I10:J10"/>
    <mergeCell ref="K10:L10"/>
    <mergeCell ref="U11:W11"/>
    <mergeCell ref="C10:F10"/>
    <mergeCell ref="C11:D11"/>
  </mergeCells>
  <printOptions/>
  <pageMargins left="0.26" right="0.18" top="0.62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W22"/>
  <sheetViews>
    <sheetView zoomScalePageLayoutView="0" workbookViewId="0" topLeftCell="B7">
      <selection activeCell="O9" sqref="O9"/>
    </sheetView>
  </sheetViews>
  <sheetFormatPr defaultColWidth="9.00390625" defaultRowHeight="12.75"/>
  <cols>
    <col min="2" max="2" width="4.00390625" style="0" customWidth="1"/>
    <col min="3" max="3" width="28.00390625" style="0" customWidth="1"/>
    <col min="4" max="4" width="12.375" style="0" customWidth="1"/>
    <col min="5" max="5" width="13.25390625" style="0" customWidth="1"/>
    <col min="6" max="6" width="7.375" style="0" customWidth="1"/>
    <col min="7" max="7" width="8.75390625" style="0" customWidth="1"/>
    <col min="8" max="9" width="12.375" style="0" customWidth="1"/>
    <col min="10" max="10" width="8.125" style="0" customWidth="1"/>
    <col min="11" max="11" width="12.375" style="0" customWidth="1"/>
    <col min="12" max="12" width="12.25390625" style="0" customWidth="1"/>
    <col min="13" max="13" width="8.125" style="0" customWidth="1"/>
    <col min="14" max="14" width="10.125" style="0" customWidth="1"/>
    <col min="15" max="15" width="11.75390625" style="0" customWidth="1"/>
    <col min="16" max="16" width="7.25390625" style="0" customWidth="1"/>
    <col min="17" max="17" width="10.125" style="0" customWidth="1"/>
    <col min="18" max="18" width="11.875" style="0" customWidth="1"/>
    <col min="19" max="19" width="7.625" style="0" customWidth="1"/>
    <col min="20" max="20" width="12.625" style="0" customWidth="1"/>
    <col min="21" max="23" width="11.75390625" style="0" bestFit="1" customWidth="1"/>
  </cols>
  <sheetData>
    <row r="5" ht="15">
      <c r="H5" s="18" t="s">
        <v>45</v>
      </c>
    </row>
    <row r="7" spans="2:23" ht="27.75" customHeight="1">
      <c r="B7" s="64" t="s">
        <v>22</v>
      </c>
      <c r="C7" s="64" t="s">
        <v>21</v>
      </c>
      <c r="D7" s="55" t="s">
        <v>38</v>
      </c>
      <c r="E7" s="59" t="s">
        <v>42</v>
      </c>
      <c r="F7" s="56" t="s">
        <v>39</v>
      </c>
      <c r="G7" s="67" t="s">
        <v>59</v>
      </c>
      <c r="H7" s="68"/>
      <c r="I7" s="69"/>
      <c r="J7" s="64" t="s">
        <v>60</v>
      </c>
      <c r="K7" s="64"/>
      <c r="L7" s="64"/>
      <c r="M7" s="64" t="s">
        <v>61</v>
      </c>
      <c r="N7" s="64"/>
      <c r="O7" s="64"/>
      <c r="P7" s="64" t="s">
        <v>43</v>
      </c>
      <c r="Q7" s="64"/>
      <c r="R7" s="64"/>
      <c r="S7" s="53" t="s">
        <v>58</v>
      </c>
      <c r="T7" s="58" t="s">
        <v>9</v>
      </c>
      <c r="U7" s="15"/>
      <c r="V7" s="2"/>
      <c r="W7" s="2"/>
    </row>
    <row r="8" spans="2:23" ht="40.5" customHeight="1">
      <c r="B8" s="64"/>
      <c r="C8" s="64"/>
      <c r="D8" s="55"/>
      <c r="E8" s="59"/>
      <c r="F8" s="56"/>
      <c r="G8" s="15" t="s">
        <v>40</v>
      </c>
      <c r="H8" s="9" t="s">
        <v>42</v>
      </c>
      <c r="I8" s="15" t="s">
        <v>31</v>
      </c>
      <c r="J8" s="15" t="s">
        <v>40</v>
      </c>
      <c r="K8" s="9" t="s">
        <v>42</v>
      </c>
      <c r="L8" s="15" t="s">
        <v>31</v>
      </c>
      <c r="M8" s="15" t="s">
        <v>40</v>
      </c>
      <c r="N8" s="9" t="s">
        <v>42</v>
      </c>
      <c r="O8" s="15" t="s">
        <v>31</v>
      </c>
      <c r="P8" s="15" t="s">
        <v>40</v>
      </c>
      <c r="Q8" s="9" t="s">
        <v>42</v>
      </c>
      <c r="R8" s="15" t="s">
        <v>31</v>
      </c>
      <c r="S8" s="54"/>
      <c r="T8" s="58"/>
      <c r="U8" s="15" t="s">
        <v>73</v>
      </c>
      <c r="V8" s="15" t="s">
        <v>71</v>
      </c>
      <c r="W8" s="15" t="s">
        <v>72</v>
      </c>
    </row>
    <row r="9" spans="2:23" ht="45" customHeight="1">
      <c r="B9" s="2">
        <v>1</v>
      </c>
      <c r="C9" s="3" t="s">
        <v>0</v>
      </c>
      <c r="D9" s="4">
        <f>920186.86*1.241</f>
        <v>1141951.89326</v>
      </c>
      <c r="E9" s="4">
        <v>770737.22</v>
      </c>
      <c r="F9" s="4">
        <f>D9/E9</f>
        <v>1.4816358463394308</v>
      </c>
      <c r="G9" s="4">
        <v>621</v>
      </c>
      <c r="H9" s="4">
        <v>487915.01</v>
      </c>
      <c r="I9" s="4">
        <f>F9*H9+F9*H9*0.057</f>
        <v>764118.3738036964</v>
      </c>
      <c r="J9" s="4"/>
      <c r="K9" s="4"/>
      <c r="L9" s="4"/>
      <c r="M9" s="4">
        <v>363</v>
      </c>
      <c r="N9" s="4">
        <v>282822.21</v>
      </c>
      <c r="O9" s="4">
        <f>N9*F9+F9*N9*0.056</f>
        <v>442505.73784764676</v>
      </c>
      <c r="P9" s="4"/>
      <c r="Q9" s="4"/>
      <c r="R9" s="4">
        <f>Q9*I9</f>
        <v>0</v>
      </c>
      <c r="S9" s="4">
        <v>0</v>
      </c>
      <c r="T9" s="4">
        <f>O9+L9+R9+I9</f>
        <v>1206624.111651343</v>
      </c>
      <c r="U9" s="30">
        <f>T9-V9-W9</f>
        <v>532121.2332382422</v>
      </c>
      <c r="V9" s="2">
        <f>V19/T19*T9</f>
        <v>553840.4672479666</v>
      </c>
      <c r="W9" s="2">
        <f>W19/T19*T9</f>
        <v>120662.41116513431</v>
      </c>
    </row>
    <row r="10" spans="2:23" ht="54.75" customHeight="1">
      <c r="B10" s="2">
        <v>2</v>
      </c>
      <c r="C10" s="5" t="s">
        <v>11</v>
      </c>
      <c r="D10" s="4">
        <f>1001768.58*1.241</f>
        <v>1243194.8077800001</v>
      </c>
      <c r="E10" s="4">
        <v>855858.44</v>
      </c>
      <c r="F10" s="4">
        <f>D10/E10</f>
        <v>1.452570600086622</v>
      </c>
      <c r="G10" s="4">
        <v>733</v>
      </c>
      <c r="H10" s="4">
        <v>855858.44</v>
      </c>
      <c r="I10" s="4">
        <f aca="true" t="shared" si="0" ref="I10:I16">F10*H10+F10*H10*0.056</f>
        <v>1312813.7170156802</v>
      </c>
      <c r="J10" s="4"/>
      <c r="K10" s="4"/>
      <c r="L10" s="4"/>
      <c r="M10" s="4"/>
      <c r="N10" s="4"/>
      <c r="O10" s="4"/>
      <c r="P10" s="4"/>
      <c r="Q10" s="4">
        <f>E10/1117*P10</f>
        <v>0</v>
      </c>
      <c r="R10" s="4">
        <f>Q10*F10</f>
        <v>0</v>
      </c>
      <c r="S10" s="4">
        <v>0</v>
      </c>
      <c r="T10" s="4">
        <f aca="true" t="shared" si="1" ref="T10:T18">O10+L10+R10+I10+S10</f>
        <v>1312813.7170156802</v>
      </c>
      <c r="U10" s="30">
        <f aca="true" t="shared" si="2" ref="U10:U17">T10-V10-W10</f>
        <v>578950.8492039149</v>
      </c>
      <c r="V10" s="4">
        <f>V19/T19*T10</f>
        <v>602581.4961101973</v>
      </c>
      <c r="W10" s="4">
        <f>W19/T19*T10</f>
        <v>131281.37170156802</v>
      </c>
    </row>
    <row r="11" spans="2:23" ht="57.75" customHeight="1">
      <c r="B11" s="2">
        <v>3</v>
      </c>
      <c r="C11" s="5" t="s">
        <v>12</v>
      </c>
      <c r="D11" s="4">
        <f>1450995.93*1.241</f>
        <v>1800685.94913</v>
      </c>
      <c r="E11" s="4">
        <v>1192438.46</v>
      </c>
      <c r="F11" s="4">
        <f>D11/E11</f>
        <v>1.510087111019549</v>
      </c>
      <c r="G11" s="4">
        <v>1097</v>
      </c>
      <c r="H11" s="4">
        <v>675047.58</v>
      </c>
      <c r="I11" s="4">
        <f t="shared" si="0"/>
        <v>1076465.9662763823</v>
      </c>
      <c r="J11" s="4"/>
      <c r="K11" s="4"/>
      <c r="L11" s="4"/>
      <c r="M11" s="4">
        <v>565</v>
      </c>
      <c r="N11" s="4">
        <v>517390.88</v>
      </c>
      <c r="O11" s="4">
        <f>N11*F11+F11*N11*0.056</f>
        <v>825058.3960048977</v>
      </c>
      <c r="P11" s="4"/>
      <c r="Q11" s="4"/>
      <c r="R11" s="4"/>
      <c r="S11" s="4">
        <v>0</v>
      </c>
      <c r="T11" s="4">
        <f t="shared" si="1"/>
        <v>1901524.36228128</v>
      </c>
      <c r="U11" s="30">
        <f t="shared" si="2"/>
        <v>838572.2437660444</v>
      </c>
      <c r="V11" s="4">
        <f>V19/T19*T11</f>
        <v>872799.6822871077</v>
      </c>
      <c r="W11" s="4">
        <f>W19/T19*T11</f>
        <v>190152.43622812803</v>
      </c>
    </row>
    <row r="12" spans="2:23" ht="48" customHeight="1">
      <c r="B12" s="2">
        <v>4</v>
      </c>
      <c r="C12" s="5" t="s">
        <v>13</v>
      </c>
      <c r="D12" s="4">
        <f>905092.06*1.241</f>
        <v>1123219.24646</v>
      </c>
      <c r="E12" s="4">
        <v>750197.46</v>
      </c>
      <c r="F12" s="4">
        <f aca="true" t="shared" si="3" ref="F12:F17">D12/E12</f>
        <v>1.4972314708450227</v>
      </c>
      <c r="G12" s="4">
        <v>471</v>
      </c>
      <c r="H12" s="4">
        <v>535269.13</v>
      </c>
      <c r="I12" s="4">
        <f>F12*H12+F12*H12*0.057</f>
        <v>847102.8286558823</v>
      </c>
      <c r="J12" s="4"/>
      <c r="K12" s="4"/>
      <c r="L12" s="4"/>
      <c r="M12" s="4">
        <v>300</v>
      </c>
      <c r="N12" s="4">
        <v>214928.33</v>
      </c>
      <c r="O12" s="4">
        <f>N12*F12+F12*N12*0.056</f>
        <v>339818.1173926856</v>
      </c>
      <c r="P12" s="4"/>
      <c r="Q12" s="4"/>
      <c r="R12" s="4"/>
      <c r="S12" s="4">
        <v>0</v>
      </c>
      <c r="T12" s="4">
        <f t="shared" si="1"/>
        <v>1186920.946048568</v>
      </c>
      <c r="U12" s="30">
        <f t="shared" si="2"/>
        <v>523432.13720741845</v>
      </c>
      <c r="V12" s="4">
        <f>V19/T19*T12</f>
        <v>544796.7142362928</v>
      </c>
      <c r="W12" s="4">
        <f>W19/T19*T12</f>
        <v>118692.0946048568</v>
      </c>
    </row>
    <row r="13" spans="2:23" ht="46.5" customHeight="1">
      <c r="B13" s="2">
        <v>5</v>
      </c>
      <c r="C13" s="5" t="s">
        <v>14</v>
      </c>
      <c r="D13" s="4">
        <f>2088250.77*1.241</f>
        <v>2591519.20557</v>
      </c>
      <c r="E13" s="4">
        <v>1816322.13</v>
      </c>
      <c r="F13" s="4">
        <f t="shared" si="3"/>
        <v>1.4267949295811313</v>
      </c>
      <c r="G13" s="4"/>
      <c r="H13" s="4"/>
      <c r="I13" s="4">
        <f t="shared" si="0"/>
        <v>0</v>
      </c>
      <c r="J13" s="4">
        <v>1297</v>
      </c>
      <c r="K13" s="4">
        <v>1531973.69</v>
      </c>
      <c r="L13" s="4">
        <f>F13*K13+F13*K13*0.056</f>
        <v>2308217.7815597425</v>
      </c>
      <c r="M13" s="4">
        <v>612</v>
      </c>
      <c r="N13" s="4">
        <v>284348.44</v>
      </c>
      <c r="O13" s="4">
        <f>N13*F13+F13*N13*0.057-57.83</f>
        <v>428774.3764346039</v>
      </c>
      <c r="P13" s="4"/>
      <c r="Q13" s="4"/>
      <c r="R13" s="4"/>
      <c r="S13" s="4">
        <v>0</v>
      </c>
      <c r="T13" s="4">
        <f t="shared" si="1"/>
        <v>2736992.157994346</v>
      </c>
      <c r="U13" s="30">
        <f t="shared" si="2"/>
        <v>1207013.5416755066</v>
      </c>
      <c r="V13" s="4">
        <f>V19/T19*T13</f>
        <v>1256279.400519405</v>
      </c>
      <c r="W13" s="4">
        <f>W19/T19*T13</f>
        <v>273699.21579943463</v>
      </c>
    </row>
    <row r="14" spans="2:23" ht="43.5" customHeight="1">
      <c r="B14" s="2">
        <v>6</v>
      </c>
      <c r="C14" s="5" t="s">
        <v>15</v>
      </c>
      <c r="D14" s="4">
        <f>441566.26*1.24</f>
        <v>547542.1624</v>
      </c>
      <c r="E14" s="4">
        <v>197562.29</v>
      </c>
      <c r="F14" s="4">
        <f t="shared" si="3"/>
        <v>2.7714912719426366</v>
      </c>
      <c r="G14" s="4">
        <v>364</v>
      </c>
      <c r="H14" s="4">
        <f>140708.54+31175.33+2057.08+15424.28+350.96+4687.46+72.49+3086.15</f>
        <v>197562.28999999995</v>
      </c>
      <c r="I14" s="4">
        <f>F14*H14+F14*H14*0.057</f>
        <v>578752.0656567999</v>
      </c>
      <c r="J14" s="4"/>
      <c r="K14" s="4"/>
      <c r="L14" s="4"/>
      <c r="M14" s="4"/>
      <c r="N14" s="4"/>
      <c r="O14" s="4"/>
      <c r="P14" s="4"/>
      <c r="Q14" s="4"/>
      <c r="R14" s="4"/>
      <c r="S14" s="4">
        <v>0</v>
      </c>
      <c r="T14" s="4">
        <f t="shared" si="1"/>
        <v>578752.0656567999</v>
      </c>
      <c r="U14" s="30">
        <f t="shared" si="2"/>
        <v>255229.66095464875</v>
      </c>
      <c r="V14" s="4">
        <f>V19/T19*T14</f>
        <v>265647.1981364712</v>
      </c>
      <c r="W14" s="4">
        <f>W19/T19*T14</f>
        <v>57875.20656568</v>
      </c>
    </row>
    <row r="15" spans="2:23" ht="52.5" customHeight="1">
      <c r="B15" s="2">
        <v>7</v>
      </c>
      <c r="C15" s="5" t="s">
        <v>16</v>
      </c>
      <c r="D15" s="4"/>
      <c r="E15" s="4"/>
      <c r="F15" s="4"/>
      <c r="G15" s="4"/>
      <c r="H15" s="4"/>
      <c r="I15" s="4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  <c r="S15" s="4">
        <v>0</v>
      </c>
      <c r="T15" s="4">
        <f t="shared" si="1"/>
        <v>0</v>
      </c>
      <c r="U15" s="30"/>
      <c r="V15" s="4"/>
      <c r="W15" s="4"/>
    </row>
    <row r="16" spans="2:23" ht="38.25" customHeight="1">
      <c r="B16" s="2">
        <v>8</v>
      </c>
      <c r="C16" s="5" t="s">
        <v>18</v>
      </c>
      <c r="D16" s="4">
        <f>139797.96*1.2425-6.23</f>
        <v>173692.73529999997</v>
      </c>
      <c r="E16" s="4">
        <v>121252</v>
      </c>
      <c r="F16" s="4">
        <f t="shared" si="3"/>
        <v>1.4324937757727705</v>
      </c>
      <c r="G16" s="4"/>
      <c r="H16" s="4"/>
      <c r="I16" s="4">
        <f t="shared" si="0"/>
        <v>0</v>
      </c>
      <c r="J16" s="4"/>
      <c r="K16" s="4"/>
      <c r="L16" s="4"/>
      <c r="M16" s="2"/>
      <c r="N16" s="2"/>
      <c r="O16" s="2"/>
      <c r="P16" s="4">
        <v>100</v>
      </c>
      <c r="Q16" s="4">
        <v>121252</v>
      </c>
      <c r="R16" s="4">
        <f>Q16*F16+F16*Q16*0.056</f>
        <v>183419.52847679995</v>
      </c>
      <c r="S16" s="4">
        <v>0</v>
      </c>
      <c r="T16" s="4">
        <f t="shared" si="1"/>
        <v>183419.52847679995</v>
      </c>
      <c r="U16" s="30">
        <f t="shared" si="2"/>
        <v>80888.01205826877</v>
      </c>
      <c r="V16" s="4">
        <f>V19/T19*T16</f>
        <v>84189.5635708512</v>
      </c>
      <c r="W16" s="4">
        <f>W19/T19*T16</f>
        <v>18341.952847679997</v>
      </c>
    </row>
    <row r="17" spans="2:23" ht="37.5" customHeight="1">
      <c r="B17" s="2">
        <v>9</v>
      </c>
      <c r="C17" s="5" t="s">
        <v>19</v>
      </c>
      <c r="D17" s="4">
        <f>664575.35*1.241</f>
        <v>824738.0093500001</v>
      </c>
      <c r="E17" s="4">
        <v>596026.14</v>
      </c>
      <c r="F17" s="4">
        <f t="shared" si="3"/>
        <v>1.3837279172856414</v>
      </c>
      <c r="G17" s="4">
        <v>490</v>
      </c>
      <c r="H17" s="4">
        <v>554244.16</v>
      </c>
      <c r="I17" s="4">
        <f>F17*H17+F17*H17*0.057</f>
        <v>810637.734864048</v>
      </c>
      <c r="J17" s="4"/>
      <c r="K17" s="4"/>
      <c r="L17" s="4"/>
      <c r="M17" s="4">
        <v>54</v>
      </c>
      <c r="N17" s="4">
        <v>41781.98</v>
      </c>
      <c r="O17" s="4">
        <f>N17*F17</f>
        <v>57814.89216547033</v>
      </c>
      <c r="P17" s="4"/>
      <c r="Q17" s="4"/>
      <c r="R17" s="4"/>
      <c r="S17" s="4">
        <v>0</v>
      </c>
      <c r="T17" s="4">
        <f t="shared" si="1"/>
        <v>868452.6270295182</v>
      </c>
      <c r="U17" s="30">
        <f t="shared" si="2"/>
        <v>382987.6085200175</v>
      </c>
      <c r="V17" s="4">
        <f>V19/T19*T17</f>
        <v>398619.7558065489</v>
      </c>
      <c r="W17" s="4">
        <f>W19/T19*T17</f>
        <v>86845.26270295183</v>
      </c>
    </row>
    <row r="18" spans="2:23" ht="20.25" customHeight="1">
      <c r="B18" s="2"/>
      <c r="C18" s="5" t="s">
        <v>46</v>
      </c>
      <c r="D18" s="4">
        <f>426233.29*1.241</f>
        <v>528955.51289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0</v>
      </c>
      <c r="T18" s="4">
        <f t="shared" si="1"/>
        <v>0</v>
      </c>
      <c r="U18" s="30"/>
      <c r="V18" s="4"/>
      <c r="W18" s="4">
        <f>W19/T19*T18</f>
        <v>0</v>
      </c>
    </row>
    <row r="19" spans="2:23" ht="16.5" customHeight="1">
      <c r="B19" s="2"/>
      <c r="C19" s="16" t="s">
        <v>44</v>
      </c>
      <c r="D19" s="17">
        <f>SUM(D9:D18)</f>
        <v>9975499.522140002</v>
      </c>
      <c r="E19" s="17"/>
      <c r="F19" s="17"/>
      <c r="G19" s="17">
        <f>SUM(G9:G18)</f>
        <v>3776</v>
      </c>
      <c r="H19" s="17"/>
      <c r="I19" s="17">
        <f>SUM(I9:I18)</f>
        <v>5389890.686272489</v>
      </c>
      <c r="J19" s="17">
        <f>SUM(J9:J18)</f>
        <v>1297</v>
      </c>
      <c r="K19" s="17"/>
      <c r="L19" s="17">
        <f>SUM(L9:L18)</f>
        <v>2308217.7815597425</v>
      </c>
      <c r="M19" s="17">
        <f>SUM(M9:M18)</f>
        <v>1894</v>
      </c>
      <c r="N19" s="17"/>
      <c r="O19" s="17">
        <f>SUM(O9:O18)</f>
        <v>2093971.5198453043</v>
      </c>
      <c r="P19" s="17">
        <f>SUM(P9:P18)</f>
        <v>100</v>
      </c>
      <c r="Q19" s="17"/>
      <c r="R19" s="17">
        <f>SUM(R9:R18)</f>
        <v>183419.52847679995</v>
      </c>
      <c r="S19" s="17">
        <f>SUM(S9:S18)</f>
        <v>0</v>
      </c>
      <c r="T19" s="17">
        <f>SUM(T9:T18)</f>
        <v>9975499.516154336</v>
      </c>
      <c r="U19" s="4">
        <f>(T19-W19)*49%</f>
        <v>4399195.286624062</v>
      </c>
      <c r="V19" s="4">
        <f>T19-U19-W19</f>
        <v>4578754.277914841</v>
      </c>
      <c r="W19" s="4">
        <f>T19*10%</f>
        <v>997549.9516154337</v>
      </c>
    </row>
    <row r="20" spans="21:23" ht="12.75">
      <c r="U20" s="1">
        <f>SUM(U9:U18)</f>
        <v>4399195.286624061</v>
      </c>
      <c r="V20" s="1">
        <f>SUM(V9:V18)</f>
        <v>4578754.27791484</v>
      </c>
      <c r="W20" s="1">
        <f>SUM(W9:W18)</f>
        <v>997549.9516154334</v>
      </c>
    </row>
    <row r="21" spans="4:23" ht="12.75">
      <c r="D21" s="1">
        <v>9975499.52</v>
      </c>
      <c r="T21" s="1">
        <v>9975499.52</v>
      </c>
      <c r="W21" s="1">
        <f>U19+V19+W19</f>
        <v>9975499.516154338</v>
      </c>
    </row>
    <row r="22" spans="4:20" ht="12.75">
      <c r="D22" s="1">
        <f>D21-D19</f>
        <v>-0.0021400023251771927</v>
      </c>
      <c r="T22" s="1">
        <f>T21-T19</f>
        <v>0.0038456637412309647</v>
      </c>
    </row>
  </sheetData>
  <sheetProtection/>
  <mergeCells count="11">
    <mergeCell ref="B7:B8"/>
    <mergeCell ref="C7:C8"/>
    <mergeCell ref="G7:I7"/>
    <mergeCell ref="D7:D8"/>
    <mergeCell ref="E7:E8"/>
    <mergeCell ref="F7:F8"/>
    <mergeCell ref="T7:T8"/>
    <mergeCell ref="J7:L7"/>
    <mergeCell ref="M7:O7"/>
    <mergeCell ref="P7:R7"/>
    <mergeCell ref="S7:S8"/>
  </mergeCells>
  <printOptions/>
  <pageMargins left="0.24" right="0.18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T38"/>
  <sheetViews>
    <sheetView zoomScale="75" zoomScaleNormal="75" workbookViewId="0" topLeftCell="A7">
      <selection activeCell="D15" sqref="D15"/>
    </sheetView>
  </sheetViews>
  <sheetFormatPr defaultColWidth="9.00390625" defaultRowHeight="12.75"/>
  <cols>
    <col min="1" max="1" width="5.625" style="0" customWidth="1"/>
    <col min="2" max="2" width="20.125" style="0" customWidth="1"/>
    <col min="3" max="3" width="11.75390625" style="0" customWidth="1"/>
    <col min="4" max="4" width="11.25390625" style="0" customWidth="1"/>
    <col min="5" max="5" width="11.875" style="0" customWidth="1"/>
    <col min="6" max="6" width="12.125" style="0" customWidth="1"/>
    <col min="7" max="7" width="10.875" style="0" customWidth="1"/>
    <col min="8" max="8" width="11.375" style="0" customWidth="1"/>
    <col min="9" max="15" width="12.875" style="0" customWidth="1"/>
    <col min="16" max="16" width="16.125" style="0" bestFit="1" customWidth="1"/>
    <col min="17" max="17" width="16.00390625" style="0" customWidth="1"/>
    <col min="18" max="18" width="13.25390625" style="0" bestFit="1" customWidth="1"/>
    <col min="19" max="19" width="13.125" style="0" customWidth="1"/>
    <col min="20" max="20" width="14.375" style="0" bestFit="1" customWidth="1"/>
  </cols>
  <sheetData>
    <row r="8" spans="1:19" ht="30.75" customHeight="1">
      <c r="A8" s="2"/>
      <c r="B8" s="66" t="s">
        <v>74</v>
      </c>
      <c r="C8" s="66"/>
      <c r="D8" s="66"/>
      <c r="E8" s="66"/>
      <c r="F8" s="66"/>
      <c r="G8" s="66"/>
      <c r="H8" s="66"/>
      <c r="I8" s="66"/>
      <c r="J8" s="29"/>
      <c r="K8" s="29"/>
      <c r="L8" s="29"/>
      <c r="M8" s="29"/>
      <c r="N8" s="29"/>
      <c r="O8" s="29"/>
      <c r="P8" s="2"/>
      <c r="Q8" s="2"/>
      <c r="R8" s="2"/>
      <c r="S8" s="2"/>
    </row>
    <row r="9" spans="1:19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33"/>
      <c r="L9" s="33"/>
      <c r="M9" s="33"/>
      <c r="N9" s="33"/>
      <c r="O9" s="33"/>
      <c r="P9" s="33"/>
      <c r="Q9" s="33"/>
      <c r="R9" s="33"/>
      <c r="S9" s="33"/>
    </row>
    <row r="10" spans="1:20" ht="18.75" customHeight="1">
      <c r="A10" s="64" t="s">
        <v>22</v>
      </c>
      <c r="B10" s="64" t="s">
        <v>21</v>
      </c>
      <c r="C10" s="64" t="s">
        <v>5</v>
      </c>
      <c r="D10" s="64"/>
      <c r="E10" s="64"/>
      <c r="F10" s="64"/>
      <c r="G10" s="64"/>
      <c r="H10" s="64"/>
      <c r="I10" s="64"/>
      <c r="J10" s="78" t="s">
        <v>76</v>
      </c>
      <c r="K10" s="9"/>
      <c r="L10" s="9"/>
      <c r="M10" s="9"/>
      <c r="N10" s="9"/>
      <c r="O10" s="59" t="s">
        <v>77</v>
      </c>
      <c r="P10" s="57" t="s">
        <v>75</v>
      </c>
      <c r="Q10" s="36"/>
      <c r="R10" s="37"/>
      <c r="S10" s="37"/>
      <c r="T10" s="38"/>
    </row>
    <row r="11" spans="1:20" ht="15.75" customHeight="1">
      <c r="A11" s="64"/>
      <c r="B11" s="64"/>
      <c r="C11" s="59" t="s">
        <v>67</v>
      </c>
      <c r="D11" s="58" t="s">
        <v>6</v>
      </c>
      <c r="E11" s="58" t="s">
        <v>7</v>
      </c>
      <c r="F11" s="59" t="s">
        <v>68</v>
      </c>
      <c r="G11" s="59" t="s">
        <v>17</v>
      </c>
      <c r="H11" s="59" t="s">
        <v>8</v>
      </c>
      <c r="I11" s="59" t="s">
        <v>9</v>
      </c>
      <c r="J11" s="79"/>
      <c r="K11" s="9"/>
      <c r="L11" s="9"/>
      <c r="M11" s="9"/>
      <c r="N11" s="9"/>
      <c r="O11" s="59"/>
      <c r="P11" s="76"/>
      <c r="Q11" s="15"/>
      <c r="R11" s="2"/>
      <c r="S11" s="2"/>
      <c r="T11" s="39"/>
    </row>
    <row r="12" spans="1:20" ht="15.75" customHeight="1">
      <c r="A12" s="64"/>
      <c r="B12" s="64"/>
      <c r="C12" s="59"/>
      <c r="D12" s="58"/>
      <c r="E12" s="58"/>
      <c r="F12" s="59"/>
      <c r="G12" s="59"/>
      <c r="H12" s="59"/>
      <c r="I12" s="59"/>
      <c r="J12" s="79"/>
      <c r="K12" s="9"/>
      <c r="L12" s="9"/>
      <c r="M12" s="9"/>
      <c r="N12" s="9"/>
      <c r="O12" s="59"/>
      <c r="P12" s="76"/>
      <c r="Q12" s="15"/>
      <c r="R12" s="2"/>
      <c r="S12" s="2"/>
      <c r="T12" s="39"/>
    </row>
    <row r="13" spans="1:20" ht="19.5" customHeight="1">
      <c r="A13" s="64"/>
      <c r="B13" s="64"/>
      <c r="C13" s="65"/>
      <c r="D13" s="61"/>
      <c r="E13" s="61"/>
      <c r="F13" s="65"/>
      <c r="G13" s="65"/>
      <c r="H13" s="65"/>
      <c r="I13" s="65"/>
      <c r="J13" s="80"/>
      <c r="K13" s="15" t="s">
        <v>73</v>
      </c>
      <c r="L13" s="15" t="s">
        <v>71</v>
      </c>
      <c r="M13" s="15" t="s">
        <v>72</v>
      </c>
      <c r="N13" s="47">
        <v>0.05</v>
      </c>
      <c r="O13" s="59"/>
      <c r="P13" s="77"/>
      <c r="Q13" s="15" t="s">
        <v>73</v>
      </c>
      <c r="R13" s="15" t="s">
        <v>71</v>
      </c>
      <c r="S13" s="15" t="s">
        <v>72</v>
      </c>
      <c r="T13" s="39"/>
    </row>
    <row r="14" spans="1:20" ht="52.5" customHeight="1">
      <c r="A14" s="2">
        <v>1</v>
      </c>
      <c r="B14" s="3" t="s">
        <v>0</v>
      </c>
      <c r="C14" s="4"/>
      <c r="D14" s="4"/>
      <c r="E14" s="4"/>
      <c r="F14" s="4"/>
      <c r="G14" s="4"/>
      <c r="H14" s="4"/>
      <c r="I14" s="4"/>
      <c r="J14" s="31"/>
      <c r="K14" s="4"/>
      <c r="L14" s="4"/>
      <c r="M14" s="4"/>
      <c r="N14" s="4"/>
      <c r="O14" s="4"/>
      <c r="P14" s="46">
        <f>дворы!AB14</f>
        <v>1251224.111651343</v>
      </c>
      <c r="Q14" s="4">
        <f>дворы!AC14</f>
        <v>551789.7945092104</v>
      </c>
      <c r="R14" s="4">
        <f>дворы!AD14</f>
        <v>574311.9576079305</v>
      </c>
      <c r="S14" s="4">
        <f>дворы!AE14</f>
        <v>125122.35953420211</v>
      </c>
      <c r="T14" s="40">
        <f aca="true" t="shared" si="0" ref="T14:T22">Q14+R14+S14</f>
        <v>1251224.111651343</v>
      </c>
    </row>
    <row r="15" spans="1:20" ht="71.25" customHeight="1">
      <c r="A15" s="2">
        <v>2</v>
      </c>
      <c r="B15" s="5" t="s">
        <v>11</v>
      </c>
      <c r="C15" s="4">
        <v>228748</v>
      </c>
      <c r="D15" s="4">
        <v>102700</v>
      </c>
      <c r="E15" s="4">
        <v>25147</v>
      </c>
      <c r="F15" s="4">
        <v>63350</v>
      </c>
      <c r="G15" s="4">
        <f>42*1599</f>
        <v>67158</v>
      </c>
      <c r="H15" s="4">
        <f>(C15+D15+E15+F15+G15)*0.21</f>
        <v>102291.62999999999</v>
      </c>
      <c r="I15" s="4">
        <f>SUM(C15:H15)</f>
        <v>589394.63</v>
      </c>
      <c r="J15" s="31">
        <f>I15</f>
        <v>589394.63</v>
      </c>
      <c r="K15" s="4">
        <f>(J15-M15)*49%</f>
        <v>260211.8351987</v>
      </c>
      <c r="L15" s="4">
        <f>J15-K15-M15</f>
        <v>270832.72643130005</v>
      </c>
      <c r="M15" s="4">
        <f>J15*9.9%</f>
        <v>58350.06837</v>
      </c>
      <c r="N15" s="4">
        <f>J15*5%</f>
        <v>29469.7315</v>
      </c>
      <c r="O15" s="4">
        <f>SUM(K15:N15)</f>
        <v>618864.3615</v>
      </c>
      <c r="P15" s="46">
        <f>дворы!AB15-J15</f>
        <v>1371182.3270156803</v>
      </c>
      <c r="Q15" s="4">
        <f>дворы!AC15-'участие 5%'!K15</f>
        <v>604402.5421596457</v>
      </c>
      <c r="R15" s="4">
        <f>дворы!AD15-'участие 5%'!L15</f>
        <v>629072.2384263726</v>
      </c>
      <c r="S15" s="4">
        <f>дворы!AE15-'участие 5%'!M15</f>
        <v>137707.54642966166</v>
      </c>
      <c r="T15" s="40">
        <f t="shared" si="0"/>
        <v>1371182.3270156798</v>
      </c>
    </row>
    <row r="16" spans="1:20" ht="78.75" customHeight="1">
      <c r="A16" s="2">
        <v>3</v>
      </c>
      <c r="B16" s="5" t="s">
        <v>12</v>
      </c>
      <c r="C16" s="4"/>
      <c r="D16" s="4"/>
      <c r="E16" s="4"/>
      <c r="F16" s="4"/>
      <c r="G16" s="4"/>
      <c r="H16" s="4"/>
      <c r="I16" s="4"/>
      <c r="J16" s="31"/>
      <c r="K16" s="4"/>
      <c r="L16" s="4"/>
      <c r="M16" s="4"/>
      <c r="N16" s="4"/>
      <c r="O16" s="4"/>
      <c r="P16" s="46">
        <f>дворы!AB16</f>
        <v>2569095.3602812802</v>
      </c>
      <c r="Q16" s="4">
        <f>дворы!AC16</f>
        <v>1132970.9743630576</v>
      </c>
      <c r="R16" s="4">
        <f>дворы!AD16</f>
        <v>1179214.955902109</v>
      </c>
      <c r="S16" s="4">
        <f>дворы!AE16</f>
        <v>256909.4300161138</v>
      </c>
      <c r="T16" s="40">
        <f t="shared" si="0"/>
        <v>2569095.3602812807</v>
      </c>
    </row>
    <row r="17" spans="1:20" ht="64.5" customHeight="1">
      <c r="A17" s="2">
        <v>4</v>
      </c>
      <c r="B17" s="5" t="s">
        <v>47</v>
      </c>
      <c r="C17" s="4"/>
      <c r="D17" s="4"/>
      <c r="E17" s="4"/>
      <c r="F17" s="4"/>
      <c r="G17" s="4"/>
      <c r="H17" s="4"/>
      <c r="I17" s="4"/>
      <c r="J17" s="31"/>
      <c r="K17" s="4"/>
      <c r="L17" s="4"/>
      <c r="M17" s="4"/>
      <c r="N17" s="4"/>
      <c r="O17" s="4"/>
      <c r="P17" s="46">
        <f>дворы!AB17</f>
        <v>1219720.946048568</v>
      </c>
      <c r="Q17" s="4">
        <f>дворы!AC17</f>
        <v>537896.8994535013</v>
      </c>
      <c r="R17" s="4">
        <f>дворы!AD17</f>
        <v>559852.0023211848</v>
      </c>
      <c r="S17" s="4">
        <f>дворы!AE17</f>
        <v>121972.04427388182</v>
      </c>
      <c r="T17" s="40">
        <f t="shared" si="0"/>
        <v>1219720.946048568</v>
      </c>
    </row>
    <row r="18" spans="1:20" ht="58.5" customHeight="1">
      <c r="A18" s="2">
        <v>5</v>
      </c>
      <c r="B18" s="5" t="s">
        <v>14</v>
      </c>
      <c r="C18" s="4"/>
      <c r="D18" s="4"/>
      <c r="E18" s="4"/>
      <c r="F18" s="4"/>
      <c r="G18" s="4"/>
      <c r="H18" s="4"/>
      <c r="I18" s="4"/>
      <c r="J18" s="31"/>
      <c r="K18" s="4"/>
      <c r="L18" s="4"/>
      <c r="M18" s="4"/>
      <c r="N18" s="4"/>
      <c r="O18" s="4"/>
      <c r="P18" s="46">
        <f>дворы!AB18</f>
        <v>2769792.157994346</v>
      </c>
      <c r="Q18" s="4">
        <f>дворы!AC18</f>
        <v>1221478.255942369</v>
      </c>
      <c r="R18" s="4">
        <f>дворы!AD18</f>
        <v>1271334.8005461767</v>
      </c>
      <c r="S18" s="4">
        <f>дворы!AE18</f>
        <v>276979.10150580027</v>
      </c>
      <c r="T18" s="40">
        <f t="shared" si="0"/>
        <v>2769792.1579943458</v>
      </c>
    </row>
    <row r="19" spans="1:20" ht="51.75" customHeight="1">
      <c r="A19" s="2">
        <v>6</v>
      </c>
      <c r="B19" s="5" t="s">
        <v>15</v>
      </c>
      <c r="C19" s="4"/>
      <c r="D19" s="4"/>
      <c r="E19" s="4"/>
      <c r="F19" s="4"/>
      <c r="G19" s="4"/>
      <c r="H19" s="4"/>
      <c r="I19" s="4"/>
      <c r="J19" s="31"/>
      <c r="K19" s="4"/>
      <c r="L19" s="4"/>
      <c r="M19" s="4"/>
      <c r="N19" s="4"/>
      <c r="O19" s="4"/>
      <c r="P19" s="46">
        <f>дворы!AB19</f>
        <v>627952.0656567999</v>
      </c>
      <c r="Q19" s="4">
        <f>дворы!AC19</f>
        <v>276926.8415177027</v>
      </c>
      <c r="R19" s="4">
        <f>дворы!AD19</f>
        <v>288230.0434854423</v>
      </c>
      <c r="S19" s="4">
        <f>дворы!AE19</f>
        <v>62795.18065365495</v>
      </c>
      <c r="T19" s="40">
        <f t="shared" si="0"/>
        <v>627952.0656567999</v>
      </c>
    </row>
    <row r="20" spans="1:20" ht="72" customHeight="1">
      <c r="A20" s="2">
        <v>7</v>
      </c>
      <c r="B20" s="5" t="s">
        <v>16</v>
      </c>
      <c r="C20" s="4">
        <v>228748</v>
      </c>
      <c r="D20" s="4">
        <v>44715</v>
      </c>
      <c r="E20" s="4">
        <v>25147</v>
      </c>
      <c r="F20" s="4">
        <v>59254</v>
      </c>
      <c r="G20" s="4"/>
      <c r="H20" s="4">
        <f>(C20+D20+E20+F20+G20)*0.214</f>
        <v>76582.896</v>
      </c>
      <c r="I20" s="4">
        <f>SUM(C20:H20)</f>
        <v>434446.896</v>
      </c>
      <c r="J20" s="31">
        <f>I20</f>
        <v>434446.896</v>
      </c>
      <c r="K20" s="4">
        <f>(J20-M20)*49%</f>
        <v>191803.96011503998</v>
      </c>
      <c r="L20" s="4">
        <f>J20-K20-M20</f>
        <v>199632.69318096002</v>
      </c>
      <c r="M20" s="4">
        <f>J20*9.9%</f>
        <v>43010.242704000004</v>
      </c>
      <c r="N20" s="4">
        <f>J20*5%</f>
        <v>21722.344800000003</v>
      </c>
      <c r="O20" s="4">
        <f>SUM(K20:N20)</f>
        <v>456169.24079999997</v>
      </c>
      <c r="P20" s="46">
        <f>дворы!AB20-J20</f>
        <v>111543.54999999999</v>
      </c>
      <c r="Q20" s="4">
        <f>дворы!AC20-'участие 5%'!K20</f>
        <v>48977.80967096487</v>
      </c>
      <c r="R20" s="4">
        <f>дворы!AD20-'участие 5%'!L20</f>
        <v>50976.960962968355</v>
      </c>
      <c r="S20" s="4">
        <f>дворы!AE20-'участие 5%'!M20</f>
        <v>11588.779366066767</v>
      </c>
      <c r="T20" s="40">
        <f t="shared" si="0"/>
        <v>111543.54999999999</v>
      </c>
    </row>
    <row r="21" spans="1:20" ht="58.5" customHeight="1">
      <c r="A21" s="2">
        <v>8</v>
      </c>
      <c r="B21" s="5" t="s">
        <v>18</v>
      </c>
      <c r="C21" s="4"/>
      <c r="D21" s="4"/>
      <c r="E21" s="4"/>
      <c r="F21" s="4"/>
      <c r="G21" s="4"/>
      <c r="H21" s="4"/>
      <c r="I21" s="4"/>
      <c r="J21" s="31">
        <f>дворы!N21</f>
        <v>183419.52847679995</v>
      </c>
      <c r="K21" s="4">
        <f>J21-L21-M21</f>
        <v>84283.10753037434</v>
      </c>
      <c r="L21" s="4">
        <f>(J21-M21)*49%</f>
        <v>80977.88762722242</v>
      </c>
      <c r="M21" s="4">
        <f>J21*9.9%</f>
        <v>18158.533319203198</v>
      </c>
      <c r="N21" s="4">
        <f>J21*5%</f>
        <v>9170.976423839998</v>
      </c>
      <c r="O21" s="4">
        <f>SUM(K21:N21)</f>
        <v>192590.50490063996</v>
      </c>
      <c r="P21" s="46">
        <f>дворы!AB21-дворы!N21</f>
        <v>72454.33000000002</v>
      </c>
      <c r="Q21" s="4">
        <f>дворы!AC21-'участие 5%'!K21</f>
        <v>28557.256137852994</v>
      </c>
      <c r="R21" s="4">
        <f>дворы!AD21-'участие 5%'!L21</f>
        <v>36468.231892135096</v>
      </c>
      <c r="S21" s="4">
        <f>дворы!AE21-'участие 5%'!M21</f>
        <v>7428.841970011923</v>
      </c>
      <c r="T21" s="40">
        <f t="shared" si="0"/>
        <v>72454.33000000002</v>
      </c>
    </row>
    <row r="22" spans="1:20" ht="53.25" customHeight="1">
      <c r="A22" s="2">
        <v>9</v>
      </c>
      <c r="B22" s="5" t="s">
        <v>19</v>
      </c>
      <c r="C22" s="17"/>
      <c r="D22" s="17"/>
      <c r="E22" s="17"/>
      <c r="F22" s="17"/>
      <c r="G22" s="17"/>
      <c r="H22" s="17"/>
      <c r="I22" s="17"/>
      <c r="J22" s="32"/>
      <c r="K22" s="17"/>
      <c r="L22" s="17"/>
      <c r="M22" s="17"/>
      <c r="N22" s="17"/>
      <c r="O22" s="17"/>
      <c r="P22" s="46">
        <f>дворы!AB22</f>
        <v>917149.0970295182</v>
      </c>
      <c r="Q22" s="4">
        <f>дворы!AC22</f>
        <v>404462.7234015807</v>
      </c>
      <c r="R22" s="4">
        <f>дворы!AD22</f>
        <v>420971.5017705342</v>
      </c>
      <c r="S22" s="4">
        <f>дворы!AE22</f>
        <v>91714.8718574033</v>
      </c>
      <c r="T22" s="40">
        <f t="shared" si="0"/>
        <v>917149.0970295182</v>
      </c>
    </row>
    <row r="23" spans="1:20" ht="12.75">
      <c r="A23" s="2"/>
      <c r="B23" s="6" t="s">
        <v>20</v>
      </c>
      <c r="C23" s="17">
        <f aca="true" t="shared" si="1" ref="C23:P23">SUM(C14:C22)</f>
        <v>457496</v>
      </c>
      <c r="D23" s="17">
        <f t="shared" si="1"/>
        <v>147415</v>
      </c>
      <c r="E23" s="17">
        <f t="shared" si="1"/>
        <v>50294</v>
      </c>
      <c r="F23" s="17">
        <f t="shared" si="1"/>
        <v>122604</v>
      </c>
      <c r="G23" s="17">
        <f t="shared" si="1"/>
        <v>67158</v>
      </c>
      <c r="H23" s="17">
        <f t="shared" si="1"/>
        <v>178874.52599999998</v>
      </c>
      <c r="I23" s="17">
        <f t="shared" si="1"/>
        <v>1023841.5260000001</v>
      </c>
      <c r="J23" s="17">
        <f t="shared" si="1"/>
        <v>1207261.0544768</v>
      </c>
      <c r="K23" s="17">
        <f>SUM(K14:K22)</f>
        <v>536298.9028441143</v>
      </c>
      <c r="L23" s="17">
        <f>SUM(L14:L22)</f>
        <v>551443.3072394825</v>
      </c>
      <c r="M23" s="17">
        <f>SUM(M14:M22)</f>
        <v>119518.8443932032</v>
      </c>
      <c r="N23" s="17">
        <f t="shared" si="1"/>
        <v>60363.052723839995</v>
      </c>
      <c r="O23" s="17">
        <f t="shared" si="1"/>
        <v>1267624.1072006398</v>
      </c>
      <c r="P23" s="41">
        <f t="shared" si="1"/>
        <v>10910113.945677537</v>
      </c>
      <c r="Q23" s="17"/>
      <c r="R23" s="17"/>
      <c r="S23" s="17"/>
      <c r="T23" s="39"/>
    </row>
    <row r="24" spans="1:20" ht="13.5" thickBot="1">
      <c r="A24" s="2"/>
      <c r="B24" s="2"/>
      <c r="C24" s="4"/>
      <c r="D24" s="4"/>
      <c r="E24" s="4"/>
      <c r="F24" s="4"/>
      <c r="G24" s="4"/>
      <c r="H24" s="4"/>
      <c r="I24" s="4"/>
      <c r="J24" s="31"/>
      <c r="K24" s="45"/>
      <c r="L24" s="45"/>
      <c r="M24" s="45"/>
      <c r="N24" s="45"/>
      <c r="O24" s="45"/>
      <c r="P24" s="42"/>
      <c r="Q24" s="43">
        <f>SUM(Q14:Q22)</f>
        <v>4807463.097155885</v>
      </c>
      <c r="R24" s="43">
        <f>SUM(R14:R22)</f>
        <v>5010432.692914853</v>
      </c>
      <c r="S24" s="43">
        <f>SUM(S14:S22)</f>
        <v>1092218.1556067965</v>
      </c>
      <c r="T24" s="44">
        <f>SUM(T14:T22)</f>
        <v>10910113.945677536</v>
      </c>
    </row>
    <row r="25" spans="1:20" ht="12.75">
      <c r="A25" s="2"/>
      <c r="B25" s="2"/>
      <c r="C25" s="4"/>
      <c r="D25" s="4"/>
      <c r="E25" s="4"/>
      <c r="F25" s="4"/>
      <c r="G25" s="4"/>
      <c r="H25" s="4"/>
      <c r="I25" s="4"/>
      <c r="J25" s="4"/>
      <c r="K25" s="34"/>
      <c r="L25" s="34"/>
      <c r="M25" s="34"/>
      <c r="N25" s="34"/>
      <c r="O25" s="34"/>
      <c r="P25" s="34"/>
      <c r="Q25" s="34"/>
      <c r="R25" s="35"/>
      <c r="S25" s="35"/>
      <c r="T25" s="1"/>
    </row>
    <row r="26" spans="1:19" ht="12.75">
      <c r="A26" s="2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1">
        <v>12117375</v>
      </c>
      <c r="Q26" s="11"/>
      <c r="R26" s="2"/>
      <c r="S26" s="2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3"/>
      <c r="Q27" s="23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>P26-P23</f>
        <v>1207261.0543224625</v>
      </c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sheetProtection/>
  <mergeCells count="14">
    <mergeCell ref="A10:A13"/>
    <mergeCell ref="F11:F13"/>
    <mergeCell ref="G11:G13"/>
    <mergeCell ref="P10:P13"/>
    <mergeCell ref="B10:B13"/>
    <mergeCell ref="H11:H13"/>
    <mergeCell ref="I11:I13"/>
    <mergeCell ref="J10:J13"/>
    <mergeCell ref="O10:O13"/>
    <mergeCell ref="B8:I8"/>
    <mergeCell ref="C10:I10"/>
    <mergeCell ref="E11:E13"/>
    <mergeCell ref="C11:C13"/>
    <mergeCell ref="D11:D13"/>
  </mergeCells>
  <printOptions/>
  <pageMargins left="0.26" right="0.18" top="0.38" bottom="0.6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X22"/>
  <sheetViews>
    <sheetView workbookViewId="0" topLeftCell="R1">
      <pane xSplit="8" ySplit="11" topLeftCell="Z12" activePane="bottomRight" state="frozen"/>
      <selection pane="topLeft" activeCell="R1" sqref="R1"/>
      <selection pane="topRight" activeCell="Z1" sqref="Z1"/>
      <selection pane="bottomLeft" activeCell="R12" sqref="R12"/>
      <selection pane="bottomRight" activeCell="E4" sqref="E4:S4"/>
    </sheetView>
  </sheetViews>
  <sheetFormatPr defaultColWidth="9.00390625" defaultRowHeight="12.75"/>
  <cols>
    <col min="2" max="2" width="4.00390625" style="0" customWidth="1"/>
    <col min="3" max="3" width="28.00390625" style="0" customWidth="1"/>
    <col min="4" max="4" width="12.375" style="0" customWidth="1"/>
    <col min="5" max="5" width="13.25390625" style="0" hidden="1" customWidth="1"/>
    <col min="6" max="6" width="7.375" style="0" hidden="1" customWidth="1"/>
    <col min="7" max="7" width="8.75390625" style="0" hidden="1" customWidth="1"/>
    <col min="8" max="9" width="12.375" style="0" hidden="1" customWidth="1"/>
    <col min="10" max="10" width="8.125" style="0" hidden="1" customWidth="1"/>
    <col min="11" max="11" width="12.375" style="0" hidden="1" customWidth="1"/>
    <col min="12" max="12" width="12.25390625" style="0" hidden="1" customWidth="1"/>
    <col min="13" max="13" width="8.125" style="0" hidden="1" customWidth="1"/>
    <col min="14" max="14" width="13.25390625" style="0" hidden="1" customWidth="1"/>
    <col min="15" max="15" width="11.75390625" style="0" hidden="1" customWidth="1"/>
    <col min="16" max="16" width="7.25390625" style="0" hidden="1" customWidth="1"/>
    <col min="17" max="17" width="10.125" style="0" hidden="1" customWidth="1"/>
    <col min="18" max="18" width="11.875" style="0" hidden="1" customWidth="1"/>
    <col min="19" max="19" width="7.625" style="0" hidden="1" customWidth="1"/>
    <col min="20" max="20" width="12.625" style="0" customWidth="1"/>
    <col min="21" max="24" width="11.75390625" style="0" bestFit="1" customWidth="1"/>
  </cols>
  <sheetData>
    <row r="5" ht="15">
      <c r="H5" s="18" t="s">
        <v>45</v>
      </c>
    </row>
    <row r="7" spans="2:23" ht="27.75" customHeight="1">
      <c r="B7" s="64" t="s">
        <v>22</v>
      </c>
      <c r="C7" s="64" t="s">
        <v>21</v>
      </c>
      <c r="D7" s="55" t="s">
        <v>38</v>
      </c>
      <c r="E7" s="59" t="s">
        <v>42</v>
      </c>
      <c r="F7" s="56" t="s">
        <v>39</v>
      </c>
      <c r="G7" s="67" t="s">
        <v>59</v>
      </c>
      <c r="H7" s="68"/>
      <c r="I7" s="69"/>
      <c r="J7" s="64" t="s">
        <v>60</v>
      </c>
      <c r="K7" s="64"/>
      <c r="L7" s="64"/>
      <c r="M7" s="64" t="s">
        <v>61</v>
      </c>
      <c r="N7" s="64"/>
      <c r="O7" s="64"/>
      <c r="P7" s="64" t="s">
        <v>43</v>
      </c>
      <c r="Q7" s="64"/>
      <c r="R7" s="64"/>
      <c r="S7" s="53" t="s">
        <v>58</v>
      </c>
      <c r="T7" s="58" t="s">
        <v>9</v>
      </c>
      <c r="U7" s="15"/>
      <c r="V7" s="2"/>
      <c r="W7" s="2"/>
    </row>
    <row r="8" spans="2:23" ht="40.5" customHeight="1">
      <c r="B8" s="64"/>
      <c r="C8" s="64"/>
      <c r="D8" s="55"/>
      <c r="E8" s="59"/>
      <c r="F8" s="56"/>
      <c r="G8" s="15" t="s">
        <v>40</v>
      </c>
      <c r="H8" s="9" t="s">
        <v>42</v>
      </c>
      <c r="I8" s="15" t="s">
        <v>31</v>
      </c>
      <c r="J8" s="15" t="s">
        <v>40</v>
      </c>
      <c r="K8" s="9" t="s">
        <v>42</v>
      </c>
      <c r="L8" s="15" t="s">
        <v>31</v>
      </c>
      <c r="M8" s="15" t="s">
        <v>40</v>
      </c>
      <c r="N8" s="9" t="s">
        <v>42</v>
      </c>
      <c r="O8" s="15" t="s">
        <v>31</v>
      </c>
      <c r="P8" s="15" t="s">
        <v>40</v>
      </c>
      <c r="Q8" s="9" t="s">
        <v>42</v>
      </c>
      <c r="R8" s="15" t="s">
        <v>31</v>
      </c>
      <c r="S8" s="54"/>
      <c r="T8" s="58"/>
      <c r="U8" s="15" t="s">
        <v>73</v>
      </c>
      <c r="V8" s="15" t="s">
        <v>71</v>
      </c>
      <c r="W8" s="15" t="s">
        <v>72</v>
      </c>
    </row>
    <row r="9" spans="2:24" ht="45" customHeight="1">
      <c r="B9" s="2">
        <v>1</v>
      </c>
      <c r="C9" s="3" t="s">
        <v>0</v>
      </c>
      <c r="D9" s="4">
        <f>948487*1.186+300</f>
        <v>1125205.582</v>
      </c>
      <c r="E9" s="4">
        <v>798779</v>
      </c>
      <c r="F9" s="4">
        <f aca="true" t="shared" si="0" ref="F9:F14">D9/E9</f>
        <v>1.4086569401549114</v>
      </c>
      <c r="G9" s="4">
        <v>621</v>
      </c>
      <c r="H9" s="4">
        <v>507049</v>
      </c>
      <c r="I9" s="4">
        <f>F9*H9+H9*F9*0.07+59.5</f>
        <v>764315.6593480102</v>
      </c>
      <c r="J9" s="4"/>
      <c r="K9" s="4"/>
      <c r="L9" s="4"/>
      <c r="M9" s="4">
        <v>363</v>
      </c>
      <c r="N9" s="4">
        <v>291730</v>
      </c>
      <c r="O9" s="4">
        <f>N9*F9+M9*F9*0.07</f>
        <v>410983.2831242416</v>
      </c>
      <c r="P9" s="4"/>
      <c r="Q9" s="4"/>
      <c r="R9" s="4">
        <f>Q9*I9</f>
        <v>0</v>
      </c>
      <c r="S9" s="4">
        <v>0</v>
      </c>
      <c r="T9" s="4">
        <f>O9+L9+R9+I9</f>
        <v>1175298.9424722518</v>
      </c>
      <c r="U9" s="30">
        <f aca="true" t="shared" si="1" ref="U9:U14">T9-V9-W9</f>
        <v>518306.83363026317</v>
      </c>
      <c r="V9" s="2">
        <f>V19/T19*T9</f>
        <v>539462.2145947635</v>
      </c>
      <c r="W9" s="2">
        <f>W19/T19*T9</f>
        <v>117529.8942472252</v>
      </c>
      <c r="X9" s="1">
        <f>U9+V9+W9</f>
        <v>1175298.9424722518</v>
      </c>
    </row>
    <row r="10" spans="2:24" ht="54.75" customHeight="1">
      <c r="B10" s="2">
        <v>2</v>
      </c>
      <c r="C10" s="5" t="s">
        <v>11</v>
      </c>
      <c r="D10" s="4">
        <f>986010*1.186+482.65</f>
        <v>1169890.5099999998</v>
      </c>
      <c r="E10" s="4">
        <v>840095</v>
      </c>
      <c r="F10" s="4">
        <f>D10/E10</f>
        <v>1.3925693046619725</v>
      </c>
      <c r="G10" s="4">
        <v>733</v>
      </c>
      <c r="H10" s="4">
        <v>840095</v>
      </c>
      <c r="I10" s="4">
        <f aca="true" t="shared" si="2" ref="I10:I17">F10*H10+H10*F10*0.08</f>
        <v>1263481.7507999998</v>
      </c>
      <c r="J10" s="4"/>
      <c r="K10" s="4"/>
      <c r="L10" s="4"/>
      <c r="M10" s="4"/>
      <c r="N10" s="4"/>
      <c r="O10" s="4"/>
      <c r="P10" s="4"/>
      <c r="Q10" s="4">
        <f>E10/1117*P10</f>
        <v>0</v>
      </c>
      <c r="R10" s="4">
        <f>Q10*F10</f>
        <v>0</v>
      </c>
      <c r="S10" s="4">
        <v>0</v>
      </c>
      <c r="T10" s="4">
        <f aca="true" t="shared" si="3" ref="T10:T18">O10+L10+R10+I10</f>
        <v>1263481.7507999998</v>
      </c>
      <c r="U10" s="30">
        <f t="shared" si="1"/>
        <v>557195.4521028</v>
      </c>
      <c r="V10" s="4">
        <f>V19/T19*T10</f>
        <v>579938.1236171998</v>
      </c>
      <c r="W10" s="4">
        <f>W19/T19*T10</f>
        <v>126348.17507999999</v>
      </c>
      <c r="X10" s="1">
        <f aca="true" t="shared" si="4" ref="X10:X18">U10+V10+W10</f>
        <v>1263481.7507999998</v>
      </c>
    </row>
    <row r="11" spans="2:24" ht="57.75" customHeight="1">
      <c r="B11" s="2">
        <v>3</v>
      </c>
      <c r="C11" s="5" t="s">
        <v>12</v>
      </c>
      <c r="D11" s="4">
        <f>1496367*1.186</f>
        <v>1774691.2619999999</v>
      </c>
      <c r="E11" s="4">
        <v>1237544</v>
      </c>
      <c r="F11" s="4">
        <f t="shared" si="0"/>
        <v>1.4340429608967438</v>
      </c>
      <c r="G11" s="4">
        <v>1097</v>
      </c>
      <c r="H11" s="4">
        <v>705536</v>
      </c>
      <c r="I11" s="4">
        <f t="shared" si="2"/>
        <v>1092710.4492159847</v>
      </c>
      <c r="J11" s="4"/>
      <c r="K11" s="4"/>
      <c r="L11" s="4"/>
      <c r="M11" s="4">
        <v>565</v>
      </c>
      <c r="N11" s="4">
        <v>532008</v>
      </c>
      <c r="O11" s="4">
        <f>N11*F11+M11*F11*0.07</f>
        <v>762979.0439398583</v>
      </c>
      <c r="P11" s="4"/>
      <c r="Q11" s="4"/>
      <c r="R11" s="4"/>
      <c r="S11" s="4">
        <v>0</v>
      </c>
      <c r="T11" s="4">
        <f t="shared" si="3"/>
        <v>1855689.493155843</v>
      </c>
      <c r="U11" s="30">
        <f t="shared" si="1"/>
        <v>818359.066481727</v>
      </c>
      <c r="V11" s="4">
        <f>V19/T19*T11</f>
        <v>851761.4773585318</v>
      </c>
      <c r="W11" s="4">
        <f>W19/T19*T11</f>
        <v>185568.94931558432</v>
      </c>
      <c r="X11" s="1">
        <f t="shared" si="4"/>
        <v>1855689.493155843</v>
      </c>
    </row>
    <row r="12" spans="2:24" ht="48" customHeight="1">
      <c r="B12" s="2">
        <v>4</v>
      </c>
      <c r="C12" s="5" t="s">
        <v>13</v>
      </c>
      <c r="D12" s="4">
        <f>911108*1.186</f>
        <v>1080574.088</v>
      </c>
      <c r="E12" s="4">
        <v>756070</v>
      </c>
      <c r="F12" s="4">
        <f t="shared" si="0"/>
        <v>1.4291984710410413</v>
      </c>
      <c r="G12" s="4">
        <v>471</v>
      </c>
      <c r="H12" s="4">
        <v>533984</v>
      </c>
      <c r="I12" s="4">
        <f t="shared" si="2"/>
        <v>824222.6456692098</v>
      </c>
      <c r="J12" s="4"/>
      <c r="K12" s="4"/>
      <c r="L12" s="4"/>
      <c r="M12" s="4">
        <v>300</v>
      </c>
      <c r="N12" s="4">
        <v>222086</v>
      </c>
      <c r="O12" s="4">
        <f>N12*F12+M12*F12*0.07</f>
        <v>317434.98480751255</v>
      </c>
      <c r="P12" s="4"/>
      <c r="Q12" s="4"/>
      <c r="R12" s="4"/>
      <c r="S12" s="4">
        <v>0</v>
      </c>
      <c r="T12" s="4">
        <f t="shared" si="3"/>
        <v>1141657.6304767223</v>
      </c>
      <c r="U12" s="30">
        <f t="shared" si="1"/>
        <v>503471.01504023455</v>
      </c>
      <c r="V12" s="4">
        <f>V19/T19*T12</f>
        <v>524020.85238881543</v>
      </c>
      <c r="W12" s="4">
        <f>W19/T19*T12</f>
        <v>114165.76304767223</v>
      </c>
      <c r="X12" s="1">
        <f t="shared" si="4"/>
        <v>1141657.630476722</v>
      </c>
    </row>
    <row r="13" spans="2:24" ht="46.5" customHeight="1">
      <c r="B13" s="2">
        <v>5</v>
      </c>
      <c r="C13" s="5" t="s">
        <v>14</v>
      </c>
      <c r="D13" s="4">
        <f>2120102*1.186</f>
        <v>2514440.972</v>
      </c>
      <c r="E13" s="4">
        <v>1847443</v>
      </c>
      <c r="F13" s="4">
        <f t="shared" si="0"/>
        <v>1.3610384580200852</v>
      </c>
      <c r="G13" s="4"/>
      <c r="H13" s="4"/>
      <c r="I13" s="4">
        <f t="shared" si="2"/>
        <v>0</v>
      </c>
      <c r="J13" s="4">
        <v>1297</v>
      </c>
      <c r="K13" s="4">
        <v>1550267</v>
      </c>
      <c r="L13" s="4">
        <f>F13*K13+F13*K13*0.07</f>
        <v>2257671.117703383</v>
      </c>
      <c r="M13" s="4">
        <v>612</v>
      </c>
      <c r="N13" s="4">
        <v>297176</v>
      </c>
      <c r="O13" s="4">
        <f>N13*F13+M13*F13*0.07</f>
        <v>404526.27168811846</v>
      </c>
      <c r="P13" s="4"/>
      <c r="Q13" s="4"/>
      <c r="R13" s="4"/>
      <c r="S13" s="4">
        <v>0</v>
      </c>
      <c r="T13" s="4">
        <f t="shared" si="3"/>
        <v>2662197.3893915014</v>
      </c>
      <c r="U13" s="30">
        <f t="shared" si="1"/>
        <v>1174029.0487216522</v>
      </c>
      <c r="V13" s="4">
        <f>V19/T19*T13</f>
        <v>1221948.601730699</v>
      </c>
      <c r="W13" s="4">
        <f>W19/T19*T13</f>
        <v>266219.7389391502</v>
      </c>
      <c r="X13" s="1">
        <f t="shared" si="4"/>
        <v>2662197.3893915014</v>
      </c>
    </row>
    <row r="14" spans="2:24" ht="43.5" customHeight="1">
      <c r="B14" s="2">
        <v>6</v>
      </c>
      <c r="C14" s="5" t="s">
        <v>15</v>
      </c>
      <c r="D14" s="4">
        <f>455614*1.186</f>
        <v>540358.204</v>
      </c>
      <c r="E14" s="4">
        <v>402715</v>
      </c>
      <c r="F14" s="4">
        <f t="shared" si="0"/>
        <v>1.3417881231143614</v>
      </c>
      <c r="G14" s="4">
        <v>364</v>
      </c>
      <c r="H14" s="4">
        <v>402715</v>
      </c>
      <c r="I14" s="4">
        <f>F14*H14+H14*F14*0.07</f>
        <v>578183.2782800001</v>
      </c>
      <c r="J14" s="4"/>
      <c r="K14" s="4"/>
      <c r="L14" s="4"/>
      <c r="M14" s="4"/>
      <c r="N14" s="4"/>
      <c r="O14" s="4"/>
      <c r="P14" s="4"/>
      <c r="Q14" s="4"/>
      <c r="R14" s="4"/>
      <c r="S14" s="4">
        <v>0</v>
      </c>
      <c r="T14" s="4">
        <f t="shared" si="3"/>
        <v>578183.2782800001</v>
      </c>
      <c r="U14" s="30">
        <f t="shared" si="1"/>
        <v>254978.82572148007</v>
      </c>
      <c r="V14" s="4">
        <f>V19/T19*T14</f>
        <v>265386.12473052</v>
      </c>
      <c r="W14" s="4">
        <f>W19/T19*T14</f>
        <v>57818.32782800001</v>
      </c>
      <c r="X14" s="1">
        <f t="shared" si="4"/>
        <v>578183.2782800001</v>
      </c>
    </row>
    <row r="15" spans="2:24" ht="52.5" customHeight="1">
      <c r="B15" s="2">
        <v>7</v>
      </c>
      <c r="C15" s="5" t="s">
        <v>16</v>
      </c>
      <c r="D15" s="4"/>
      <c r="E15" s="4"/>
      <c r="F15" s="4"/>
      <c r="G15" s="4"/>
      <c r="H15" s="4"/>
      <c r="I15" s="4">
        <f t="shared" si="2"/>
        <v>0</v>
      </c>
      <c r="J15" s="4"/>
      <c r="K15" s="4"/>
      <c r="L15" s="4"/>
      <c r="M15" s="4"/>
      <c r="N15" s="4"/>
      <c r="O15" s="4"/>
      <c r="P15" s="4"/>
      <c r="Q15" s="4"/>
      <c r="R15" s="4"/>
      <c r="S15" s="4">
        <v>0</v>
      </c>
      <c r="T15" s="4">
        <f t="shared" si="3"/>
        <v>0</v>
      </c>
      <c r="U15" s="30"/>
      <c r="V15" s="4"/>
      <c r="W15" s="4"/>
      <c r="X15" s="1">
        <f t="shared" si="4"/>
        <v>0</v>
      </c>
    </row>
    <row r="16" spans="2:24" ht="38.25" customHeight="1">
      <c r="B16" s="2">
        <v>8</v>
      </c>
      <c r="C16" s="5" t="s">
        <v>18</v>
      </c>
      <c r="D16" s="4">
        <f>138617*1.186</f>
        <v>164399.762</v>
      </c>
      <c r="E16" s="4">
        <v>121252</v>
      </c>
      <c r="F16" s="4">
        <f>D16/E16</f>
        <v>1.3558519612047635</v>
      </c>
      <c r="G16" s="4"/>
      <c r="H16" s="4"/>
      <c r="I16" s="4">
        <f t="shared" si="2"/>
        <v>0</v>
      </c>
      <c r="J16" s="4"/>
      <c r="K16" s="4"/>
      <c r="L16" s="4"/>
      <c r="M16" s="2"/>
      <c r="N16" s="2"/>
      <c r="O16" s="2"/>
      <c r="P16" s="4">
        <v>100</v>
      </c>
      <c r="Q16" s="4">
        <v>121252</v>
      </c>
      <c r="R16" s="4">
        <f>Q16*F16+F16*Q16*0.07</f>
        <v>175907.74534</v>
      </c>
      <c r="S16" s="4">
        <v>0</v>
      </c>
      <c r="T16" s="4">
        <f t="shared" si="3"/>
        <v>175907.74534</v>
      </c>
      <c r="U16" s="30">
        <f>T16-V16-W16</f>
        <v>77575.31569494001</v>
      </c>
      <c r="V16" s="4">
        <f>V19/T19*T16</f>
        <v>80741.65511105998</v>
      </c>
      <c r="W16" s="4">
        <f>W19/T19*T16</f>
        <v>17590.774534</v>
      </c>
      <c r="X16" s="1">
        <f t="shared" si="4"/>
        <v>175907.74534</v>
      </c>
    </row>
    <row r="17" spans="2:24" ht="37.5" customHeight="1">
      <c r="B17" s="2">
        <v>9</v>
      </c>
      <c r="C17" s="5" t="s">
        <v>19</v>
      </c>
      <c r="D17" s="4">
        <f>701788*1.186</f>
        <v>832320.568</v>
      </c>
      <c r="E17" s="4">
        <v>633331</v>
      </c>
      <c r="F17" s="4">
        <f>D17/E17</f>
        <v>1.3141952122981506</v>
      </c>
      <c r="G17" s="4">
        <v>490</v>
      </c>
      <c r="H17" s="4">
        <v>590350</v>
      </c>
      <c r="I17" s="4">
        <f t="shared" si="2"/>
        <v>837901.9550666303</v>
      </c>
      <c r="J17" s="4"/>
      <c r="K17" s="4"/>
      <c r="L17" s="4"/>
      <c r="M17" s="4">
        <v>54</v>
      </c>
      <c r="N17" s="4">
        <v>42981</v>
      </c>
      <c r="O17" s="4">
        <f>N17*F17+M17*F17*0.09</f>
        <v>56491.81140851858</v>
      </c>
      <c r="P17" s="4"/>
      <c r="Q17" s="4"/>
      <c r="R17" s="4"/>
      <c r="S17" s="4">
        <v>0</v>
      </c>
      <c r="T17" s="4">
        <f t="shared" si="3"/>
        <v>894393.7664751488</v>
      </c>
      <c r="U17" s="30">
        <f>T17-V17-W17</f>
        <v>394427.65101554076</v>
      </c>
      <c r="V17" s="4">
        <f>V19/T19*T17</f>
        <v>410526.7388120932</v>
      </c>
      <c r="W17" s="4">
        <f>W19/T19*T17</f>
        <v>89439.37664751489</v>
      </c>
      <c r="X17" s="1">
        <f t="shared" si="4"/>
        <v>894393.7664751488</v>
      </c>
    </row>
    <row r="18" spans="2:24" ht="20.25" customHeight="1">
      <c r="B18" s="2"/>
      <c r="C18" s="5" t="s">
        <v>46</v>
      </c>
      <c r="D18" s="4">
        <f>459468*1.186</f>
        <v>544929.048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0</v>
      </c>
      <c r="T18" s="4">
        <f t="shared" si="3"/>
        <v>0</v>
      </c>
      <c r="U18" s="30"/>
      <c r="V18" s="4"/>
      <c r="W18" s="4">
        <f>W19/T19*T18</f>
        <v>0</v>
      </c>
      <c r="X18" s="1">
        <f t="shared" si="4"/>
        <v>0</v>
      </c>
    </row>
    <row r="19" spans="2:24" ht="16.5" customHeight="1">
      <c r="B19" s="2"/>
      <c r="C19" s="16" t="s">
        <v>44</v>
      </c>
      <c r="D19" s="17">
        <f>SUM(D9:D18)</f>
        <v>9746809.996</v>
      </c>
      <c r="E19" s="17">
        <f>SUM(E9:E18)</f>
        <v>6637229</v>
      </c>
      <c r="F19" s="17"/>
      <c r="G19" s="17">
        <f>SUM(G9:G18)</f>
        <v>3776</v>
      </c>
      <c r="H19" s="17">
        <f>SUM(H9:H18)</f>
        <v>3579729</v>
      </c>
      <c r="I19" s="17">
        <f>SUM(I9:I18)</f>
        <v>5360815.738379835</v>
      </c>
      <c r="J19" s="17">
        <f>SUM(J9:J18)</f>
        <v>1297</v>
      </c>
      <c r="K19" s="17"/>
      <c r="L19" s="17">
        <f aca="true" t="shared" si="5" ref="L19:T19">SUM(L9:L18)</f>
        <v>2257671.117703383</v>
      </c>
      <c r="M19" s="17">
        <f t="shared" si="5"/>
        <v>1894</v>
      </c>
      <c r="N19" s="17">
        <f t="shared" si="5"/>
        <v>1385981</v>
      </c>
      <c r="O19" s="17">
        <f t="shared" si="5"/>
        <v>1952415.3949682496</v>
      </c>
      <c r="P19" s="17">
        <f t="shared" si="5"/>
        <v>100</v>
      </c>
      <c r="Q19" s="17">
        <f t="shared" si="5"/>
        <v>121252</v>
      </c>
      <c r="R19" s="17">
        <f t="shared" si="5"/>
        <v>175907.74534</v>
      </c>
      <c r="S19" s="17">
        <f t="shared" si="5"/>
        <v>0</v>
      </c>
      <c r="T19" s="17">
        <f t="shared" si="5"/>
        <v>9746809.996391468</v>
      </c>
      <c r="U19" s="4">
        <f>(T19-W19)*49%</f>
        <v>4298343.208408638</v>
      </c>
      <c r="V19" s="4">
        <f>T19-U19-W19</f>
        <v>4473785.788343683</v>
      </c>
      <c r="W19" s="4">
        <f>T19*10%</f>
        <v>974680.9996391468</v>
      </c>
      <c r="X19" s="4">
        <f>SUM(X9:X18)</f>
        <v>9746809.996391468</v>
      </c>
    </row>
    <row r="20" spans="21:23" ht="12.75">
      <c r="U20" s="1">
        <f>SUM(U9:U18)</f>
        <v>4298343.208408638</v>
      </c>
      <c r="V20" s="1">
        <f>SUM(V9:V18)</f>
        <v>4473785.788343683</v>
      </c>
      <c r="W20" s="1">
        <f>SUM(W9:W18)</f>
        <v>974680.9996391467</v>
      </c>
    </row>
    <row r="21" spans="4:23" ht="12.75">
      <c r="D21" s="1">
        <v>9746810</v>
      </c>
      <c r="T21" s="1">
        <v>9746810</v>
      </c>
      <c r="W21" s="1">
        <f>U19+V19+W19</f>
        <v>9746809.996391468</v>
      </c>
    </row>
    <row r="22" spans="4:20" ht="12.75">
      <c r="D22" s="1">
        <f>D21-D19</f>
        <v>0.0040000006556510925</v>
      </c>
      <c r="T22" s="1">
        <f>T21-T19</f>
        <v>0.0036085322499275208</v>
      </c>
    </row>
  </sheetData>
  <sheetProtection/>
  <mergeCells count="11">
    <mergeCell ref="T7:T8"/>
    <mergeCell ref="J7:L7"/>
    <mergeCell ref="M7:O7"/>
    <mergeCell ref="P7:R7"/>
    <mergeCell ref="S7:S8"/>
    <mergeCell ref="B7:B8"/>
    <mergeCell ref="C7:C8"/>
    <mergeCell ref="G7:I7"/>
    <mergeCell ref="D7:D8"/>
    <mergeCell ref="E7:E8"/>
    <mergeCell ref="F7:F8"/>
  </mergeCells>
  <printOptions/>
  <pageMargins left="0.24" right="0.18" top="1" bottom="1" header="0.5" footer="0.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AF48"/>
  <sheetViews>
    <sheetView tabSelected="1" zoomScale="75" zoomScaleNormal="75" workbookViewId="0" topLeftCell="A19">
      <selection activeCell="I32" sqref="I32"/>
    </sheetView>
  </sheetViews>
  <sheetFormatPr defaultColWidth="9.00390625" defaultRowHeight="12.75"/>
  <cols>
    <col min="1" max="1" width="5.625" style="0" customWidth="1"/>
    <col min="2" max="2" width="20.125" style="0" customWidth="1"/>
    <col min="3" max="3" width="9.375" style="0" customWidth="1"/>
    <col min="4" max="4" width="13.875" style="0" customWidth="1"/>
    <col min="5" max="5" width="9.25390625" style="0" customWidth="1"/>
    <col min="6" max="6" width="15.125" style="0" customWidth="1"/>
    <col min="7" max="7" width="7.75390625" style="0" customWidth="1"/>
    <col min="8" max="8" width="12.25390625" style="0" customWidth="1"/>
    <col min="9" max="9" width="6.375" style="0" customWidth="1"/>
    <col min="10" max="10" width="10.75390625" style="0" customWidth="1"/>
    <col min="12" max="12" width="14.00390625" style="0" customWidth="1"/>
    <col min="13" max="13" width="7.75390625" style="0" customWidth="1"/>
    <col min="14" max="14" width="14.125" style="0" customWidth="1"/>
    <col min="15" max="15" width="5.625" style="0" customWidth="1"/>
    <col min="16" max="16" width="11.125" style="0" customWidth="1"/>
    <col min="17" max="17" width="6.625" style="0" customWidth="1"/>
    <col min="18" max="18" width="11.75390625" style="0" customWidth="1"/>
    <col min="19" max="19" width="7.75390625" style="0" customWidth="1"/>
    <col min="20" max="20" width="10.375" style="0" customWidth="1"/>
    <col min="21" max="21" width="11.75390625" style="0" customWidth="1"/>
    <col min="22" max="22" width="11.25390625" style="0" customWidth="1"/>
    <col min="23" max="23" width="11.875" style="0" customWidth="1"/>
    <col min="24" max="24" width="12.125" style="0" customWidth="1"/>
    <col min="25" max="25" width="10.875" style="0" customWidth="1"/>
    <col min="26" max="26" width="11.375" style="0" customWidth="1"/>
    <col min="27" max="27" width="12.875" style="0" customWidth="1"/>
    <col min="28" max="28" width="16.125" style="0" bestFit="1" customWidth="1"/>
    <col min="29" max="29" width="16.00390625" style="0" customWidth="1"/>
    <col min="30" max="30" width="13.25390625" style="0" bestFit="1" customWidth="1"/>
    <col min="31" max="31" width="13.125" style="0" customWidth="1"/>
    <col min="32" max="32" width="14.375" style="0" bestFit="1" customWidth="1"/>
  </cols>
  <sheetData>
    <row r="8" spans="1:31" ht="30.75" customHeight="1">
      <c r="A8" s="2"/>
      <c r="B8" s="66" t="s">
        <v>74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2"/>
      <c r="AC8" s="2"/>
      <c r="AD8" s="2"/>
      <c r="AE8" s="2"/>
    </row>
    <row r="9" spans="1:3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8.75" customHeight="1">
      <c r="A10" s="64" t="s">
        <v>22</v>
      </c>
      <c r="B10" s="64" t="s">
        <v>21</v>
      </c>
      <c r="C10" s="58" t="s">
        <v>62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2" t="s">
        <v>2</v>
      </c>
      <c r="P10" s="62"/>
      <c r="Q10" s="59" t="s">
        <v>3</v>
      </c>
      <c r="R10" s="60"/>
      <c r="S10" s="58" t="s">
        <v>4</v>
      </c>
      <c r="T10" s="58"/>
      <c r="U10" s="64" t="s">
        <v>5</v>
      </c>
      <c r="V10" s="64"/>
      <c r="W10" s="64"/>
      <c r="X10" s="64"/>
      <c r="Y10" s="64"/>
      <c r="Z10" s="64"/>
      <c r="AA10" s="64"/>
      <c r="AB10" s="64" t="s">
        <v>10</v>
      </c>
      <c r="AC10" s="15"/>
      <c r="AD10" s="2"/>
      <c r="AE10" s="2"/>
    </row>
    <row r="11" spans="1:31" ht="15.75" customHeight="1">
      <c r="A11" s="64"/>
      <c r="B11" s="64"/>
      <c r="C11" s="58" t="s">
        <v>56</v>
      </c>
      <c r="D11" s="58"/>
      <c r="E11" s="58" t="s">
        <v>41</v>
      </c>
      <c r="F11" s="58"/>
      <c r="G11" s="58"/>
      <c r="H11" s="58"/>
      <c r="I11" s="58"/>
      <c r="J11" s="58"/>
      <c r="K11" s="58" t="s">
        <v>49</v>
      </c>
      <c r="L11" s="58"/>
      <c r="M11" s="58" t="s">
        <v>48</v>
      </c>
      <c r="N11" s="58"/>
      <c r="O11" s="63"/>
      <c r="P11" s="63"/>
      <c r="Q11" s="60"/>
      <c r="R11" s="60"/>
      <c r="S11" s="61"/>
      <c r="T11" s="61"/>
      <c r="U11" s="59" t="s">
        <v>67</v>
      </c>
      <c r="V11" s="58" t="s">
        <v>6</v>
      </c>
      <c r="W11" s="58" t="s">
        <v>7</v>
      </c>
      <c r="X11" s="59" t="s">
        <v>68</v>
      </c>
      <c r="Y11" s="59" t="s">
        <v>17</v>
      </c>
      <c r="Z11" s="59" t="s">
        <v>8</v>
      </c>
      <c r="AA11" s="59" t="s">
        <v>9</v>
      </c>
      <c r="AB11" s="64"/>
      <c r="AC11" s="15"/>
      <c r="AD11" s="2"/>
      <c r="AE11" s="2"/>
    </row>
    <row r="12" spans="1:31" ht="15.75" customHeight="1">
      <c r="A12" s="64"/>
      <c r="B12" s="64"/>
      <c r="C12" s="58" t="s">
        <v>40</v>
      </c>
      <c r="D12" s="58" t="s">
        <v>1</v>
      </c>
      <c r="E12" s="58" t="s">
        <v>63</v>
      </c>
      <c r="F12" s="58"/>
      <c r="G12" s="58" t="s">
        <v>65</v>
      </c>
      <c r="H12" s="58"/>
      <c r="I12" s="58" t="s">
        <v>64</v>
      </c>
      <c r="J12" s="58"/>
      <c r="K12" s="58" t="s">
        <v>40</v>
      </c>
      <c r="L12" s="58" t="s">
        <v>1</v>
      </c>
      <c r="M12" s="58" t="s">
        <v>40</v>
      </c>
      <c r="N12" s="58" t="s">
        <v>1</v>
      </c>
      <c r="O12" s="58" t="s">
        <v>50</v>
      </c>
      <c r="P12" s="58" t="s">
        <v>1</v>
      </c>
      <c r="Q12" s="58" t="s">
        <v>50</v>
      </c>
      <c r="R12" s="58" t="s">
        <v>1</v>
      </c>
      <c r="S12" s="58" t="s">
        <v>50</v>
      </c>
      <c r="T12" s="58" t="s">
        <v>1</v>
      </c>
      <c r="U12" s="59"/>
      <c r="V12" s="58"/>
      <c r="W12" s="58"/>
      <c r="X12" s="59"/>
      <c r="Y12" s="59"/>
      <c r="Z12" s="59"/>
      <c r="AA12" s="59"/>
      <c r="AB12" s="64"/>
      <c r="AC12" s="15"/>
      <c r="AD12" s="2"/>
      <c r="AE12" s="2"/>
    </row>
    <row r="13" spans="1:31" ht="19.5" customHeight="1">
      <c r="A13" s="64"/>
      <c r="B13" s="64"/>
      <c r="C13" s="58"/>
      <c r="D13" s="58"/>
      <c r="E13" s="21" t="s">
        <v>40</v>
      </c>
      <c r="F13" s="21" t="s">
        <v>1</v>
      </c>
      <c r="G13" s="21" t="s">
        <v>40</v>
      </c>
      <c r="H13" s="21" t="s">
        <v>1</v>
      </c>
      <c r="I13" s="21" t="s">
        <v>40</v>
      </c>
      <c r="J13" s="21" t="s">
        <v>1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65"/>
      <c r="V13" s="61"/>
      <c r="W13" s="61"/>
      <c r="X13" s="65"/>
      <c r="Y13" s="65"/>
      <c r="Z13" s="65"/>
      <c r="AA13" s="65"/>
      <c r="AB13" s="64"/>
      <c r="AC13" s="15" t="s">
        <v>73</v>
      </c>
      <c r="AD13" s="15" t="s">
        <v>71</v>
      </c>
      <c r="AE13" s="15" t="s">
        <v>72</v>
      </c>
    </row>
    <row r="14" spans="1:32" ht="52.5" customHeight="1">
      <c r="A14" s="2">
        <v>1</v>
      </c>
      <c r="B14" s="3" t="s">
        <v>0</v>
      </c>
      <c r="C14" s="4">
        <f>'ДОРОЖНЫЕ РАБОТЫ'!G9</f>
        <v>621</v>
      </c>
      <c r="D14" s="4">
        <f>'ДОРОЖНЫЕ РАБОТЫ  ЦИИ'!I9</f>
        <v>764315.6593480102</v>
      </c>
      <c r="E14" s="4">
        <f>'ДОРОЖНЫЕ РАБОТЫ'!M9</f>
        <v>363</v>
      </c>
      <c r="F14" s="4">
        <f>'ДОРОЖНЫЕ РАБОТЫ  ЦИИ'!O9</f>
        <v>410983.2831242416</v>
      </c>
      <c r="G14" s="4"/>
      <c r="H14" s="4"/>
      <c r="I14" s="4"/>
      <c r="J14" s="4"/>
      <c r="K14" s="4"/>
      <c r="L14" s="4"/>
      <c r="M14" s="4"/>
      <c r="N14" s="4"/>
      <c r="O14" s="19" t="s">
        <v>51</v>
      </c>
      <c r="P14" s="26">
        <v>20000</v>
      </c>
      <c r="Q14" s="4">
        <v>3</v>
      </c>
      <c r="R14" s="4">
        <f aca="true" t="shared" si="0" ref="R14:R21">5700*Q14</f>
        <v>17100</v>
      </c>
      <c r="S14" s="4">
        <v>3</v>
      </c>
      <c r="T14" s="4">
        <f>S14*2500</f>
        <v>7500</v>
      </c>
      <c r="U14" s="4"/>
      <c r="V14" s="4"/>
      <c r="W14" s="4"/>
      <c r="X14" s="4"/>
      <c r="Y14" s="4"/>
      <c r="Z14" s="4"/>
      <c r="AA14" s="4"/>
      <c r="AB14" s="4">
        <f aca="true" t="shared" si="1" ref="AB14:AB22">D14+F14+L14+N14+P14+R14+T14+AA14+J14+H14</f>
        <v>1219898.9424722518</v>
      </c>
      <c r="AC14" s="4">
        <f>AC23/AB23*AB14</f>
        <v>537975.3956827204</v>
      </c>
      <c r="AD14" s="4">
        <f aca="true" t="shared" si="2" ref="AD14:AD22">AB14-AC14-AE14</f>
        <v>559933.7029232829</v>
      </c>
      <c r="AE14" s="4">
        <f>AE23/AB23*AB14</f>
        <v>121989.84386624862</v>
      </c>
      <c r="AF14" s="1">
        <f aca="true" t="shared" si="3" ref="AF14:AF22">AC14+AD14+AE14</f>
        <v>1219898.9424722518</v>
      </c>
    </row>
    <row r="15" spans="1:32" ht="71.25" customHeight="1">
      <c r="A15" s="2">
        <v>2</v>
      </c>
      <c r="B15" s="5" t="s">
        <v>11</v>
      </c>
      <c r="C15" s="4">
        <f>'ДОРОЖНЫЕ РАБОТЫ'!G10</f>
        <v>733</v>
      </c>
      <c r="D15" s="4">
        <f>'ДОРОЖНЫЕ РАБОТЫ  ЦИИ'!I10</f>
        <v>1263481.7507999998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19" t="s">
        <v>52</v>
      </c>
      <c r="P15" s="26">
        <v>41968.61</v>
      </c>
      <c r="Q15" s="4">
        <v>2</v>
      </c>
      <c r="R15" s="4">
        <f t="shared" si="0"/>
        <v>11400</v>
      </c>
      <c r="S15" s="4">
        <v>2</v>
      </c>
      <c r="T15" s="4">
        <f>S15*2500</f>
        <v>5000</v>
      </c>
      <c r="U15" s="51">
        <v>415875</v>
      </c>
      <c r="V15" s="4">
        <v>102700</v>
      </c>
      <c r="W15" s="4">
        <v>25147</v>
      </c>
      <c r="X15" s="4">
        <v>63350</v>
      </c>
      <c r="Y15" s="4">
        <f>42*1599</f>
        <v>67158</v>
      </c>
      <c r="Z15" s="4">
        <f>(U15+V15+W15+X15+Y15)*0.21</f>
        <v>141588.3</v>
      </c>
      <c r="AA15" s="4">
        <f>SUM(U15:Z15)</f>
        <v>815818.3</v>
      </c>
      <c r="AB15" s="4">
        <f t="shared" si="1"/>
        <v>2137668.6607999997</v>
      </c>
      <c r="AC15" s="4">
        <f>AC23/AB23*AB15</f>
        <v>942711.8129160844</v>
      </c>
      <c r="AD15" s="4">
        <f t="shared" si="2"/>
        <v>981190.070088142</v>
      </c>
      <c r="AE15" s="4">
        <f>AE23/AB23*AB15</f>
        <v>213766.77779577335</v>
      </c>
      <c r="AF15" s="1">
        <f t="shared" si="3"/>
        <v>2137668.6607999997</v>
      </c>
    </row>
    <row r="16" spans="1:32" ht="78.75" customHeight="1">
      <c r="A16" s="2">
        <v>3</v>
      </c>
      <c r="B16" s="5" t="s">
        <v>12</v>
      </c>
      <c r="C16" s="4">
        <f>'ДОРОЖНЫЕ РАБОТЫ'!G11</f>
        <v>1097</v>
      </c>
      <c r="D16" s="4">
        <f>'ДОРОЖНЫЕ РАБОТЫ  ЦИИ'!I11</f>
        <v>1092710.4492159847</v>
      </c>
      <c r="E16" s="4">
        <f>'ДОРОЖНЫЕ РАБОТЫ'!M11</f>
        <v>565</v>
      </c>
      <c r="F16" s="4">
        <f>'ДОРОЖНЫЕ РАБОТЫ  ЦИИ'!O11</f>
        <v>762979.0439398583</v>
      </c>
      <c r="G16" s="4">
        <f>29.6+356.5</f>
        <v>386.1</v>
      </c>
      <c r="H16" s="4">
        <f>G16*1681.48-60000</f>
        <v>589219.4280000001</v>
      </c>
      <c r="I16" s="4"/>
      <c r="J16" s="4"/>
      <c r="K16" s="4"/>
      <c r="L16" s="4"/>
      <c r="M16" s="4"/>
      <c r="N16" s="4"/>
      <c r="O16" s="19" t="s">
        <v>53</v>
      </c>
      <c r="P16" s="4">
        <v>57696.23</v>
      </c>
      <c r="Q16" s="4">
        <v>3</v>
      </c>
      <c r="R16" s="4">
        <f t="shared" si="0"/>
        <v>17100</v>
      </c>
      <c r="S16" s="4">
        <v>3</v>
      </c>
      <c r="T16" s="26">
        <v>3555.34</v>
      </c>
      <c r="U16" s="4"/>
      <c r="V16" s="4"/>
      <c r="W16" s="4"/>
      <c r="X16" s="4"/>
      <c r="Y16" s="4"/>
      <c r="Z16" s="4"/>
      <c r="AA16" s="4"/>
      <c r="AB16" s="4">
        <f t="shared" si="1"/>
        <v>2523260.4911558433</v>
      </c>
      <c r="AC16" s="4">
        <f>AC23/AB23*AB16</f>
        <v>1112757.7981083603</v>
      </c>
      <c r="AD16" s="4">
        <f t="shared" si="2"/>
        <v>1158176.7481407993</v>
      </c>
      <c r="AE16" s="4">
        <f>AE23/AB23*AB16</f>
        <v>252325.9449066837</v>
      </c>
      <c r="AF16" s="1">
        <f t="shared" si="3"/>
        <v>2523260.4911558433</v>
      </c>
    </row>
    <row r="17" spans="1:32" ht="64.5" customHeight="1">
      <c r="A17" s="2">
        <v>4</v>
      </c>
      <c r="B17" s="5" t="s">
        <v>47</v>
      </c>
      <c r="C17" s="4">
        <f>'ДОРОЖНЫЕ РАБОТЫ'!G12</f>
        <v>471</v>
      </c>
      <c r="D17" s="4">
        <f>'ДОРОЖНЫЕ РАБОТЫ  ЦИИ'!I12</f>
        <v>824222.6456692098</v>
      </c>
      <c r="E17" s="4">
        <f>'ДОРОЖНЫЕ РАБОТЫ'!M12</f>
        <v>300</v>
      </c>
      <c r="F17" s="4">
        <f>'ДОРОЖНЫЕ РАБОТЫ  ЦИИ'!O12</f>
        <v>317434.98480751255</v>
      </c>
      <c r="G17" s="4"/>
      <c r="H17" s="4"/>
      <c r="I17" s="4"/>
      <c r="J17" s="4"/>
      <c r="K17" s="4"/>
      <c r="L17" s="4"/>
      <c r="M17" s="4"/>
      <c r="N17" s="4"/>
      <c r="O17" s="19"/>
      <c r="P17" s="4"/>
      <c r="Q17" s="4">
        <v>4</v>
      </c>
      <c r="R17" s="4">
        <f t="shared" si="0"/>
        <v>22800</v>
      </c>
      <c r="S17" s="4">
        <v>4</v>
      </c>
      <c r="T17" s="4">
        <f>S17*2500</f>
        <v>10000</v>
      </c>
      <c r="U17" s="4"/>
      <c r="V17" s="4"/>
      <c r="W17" s="4"/>
      <c r="X17" s="4"/>
      <c r="Y17" s="4"/>
      <c r="Z17" s="4"/>
      <c r="AA17" s="4"/>
      <c r="AB17" s="4">
        <f t="shared" si="1"/>
        <v>1174457.6304767223</v>
      </c>
      <c r="AC17" s="4">
        <f>AC23/AB23*AB17</f>
        <v>517935.77850624017</v>
      </c>
      <c r="AD17" s="4">
        <f t="shared" si="2"/>
        <v>539076.137427092</v>
      </c>
      <c r="AE17" s="4">
        <f>AE23/AB23*AB17</f>
        <v>117445.71454339019</v>
      </c>
      <c r="AF17" s="1">
        <f t="shared" si="3"/>
        <v>1174457.6304767223</v>
      </c>
    </row>
    <row r="18" spans="1:32" ht="58.5" customHeight="1">
      <c r="A18" s="2">
        <v>5</v>
      </c>
      <c r="B18" s="5" t="s">
        <v>14</v>
      </c>
      <c r="C18" s="4"/>
      <c r="D18" s="4"/>
      <c r="E18" s="4">
        <f>'ДОРОЖНЫЕ РАБОТЫ'!M13</f>
        <v>612</v>
      </c>
      <c r="F18" s="4">
        <f>'ДОРОЖНЫЕ РАБОТЫ  ЦИИ'!O13</f>
        <v>404526.27168811846</v>
      </c>
      <c r="G18" s="4"/>
      <c r="H18" s="4"/>
      <c r="I18" s="4"/>
      <c r="J18" s="4"/>
      <c r="K18" s="4">
        <f>'ДОРОЖНЫЕ РАБОТЫ'!J13</f>
        <v>1297</v>
      </c>
      <c r="L18" s="4">
        <f>'ДОРОЖНЫЕ РАБОТЫ  ЦИИ'!L13</f>
        <v>2257671.117703383</v>
      </c>
      <c r="M18" s="4"/>
      <c r="N18" s="4"/>
      <c r="O18" s="19"/>
      <c r="P18" s="4"/>
      <c r="Q18" s="4">
        <v>4</v>
      </c>
      <c r="R18" s="4">
        <f t="shared" si="0"/>
        <v>22800</v>
      </c>
      <c r="S18" s="4">
        <v>4</v>
      </c>
      <c r="T18" s="4">
        <f>S18*2500</f>
        <v>10000</v>
      </c>
      <c r="U18" s="4"/>
      <c r="V18" s="4"/>
      <c r="W18" s="4"/>
      <c r="X18" s="4"/>
      <c r="Y18" s="4"/>
      <c r="Z18" s="4"/>
      <c r="AA18" s="4"/>
      <c r="AB18" s="4">
        <f t="shared" si="1"/>
        <v>2694997.3893915014</v>
      </c>
      <c r="AC18" s="4">
        <f>AC23/AB23*AB18</f>
        <v>1188493.7648880451</v>
      </c>
      <c r="AD18" s="4">
        <f t="shared" si="2"/>
        <v>1237003.996865821</v>
      </c>
      <c r="AE18" s="4">
        <f>AE23/AB23*AB18</f>
        <v>269499.6276376353</v>
      </c>
      <c r="AF18" s="1">
        <f t="shared" si="3"/>
        <v>2694997.389391502</v>
      </c>
    </row>
    <row r="19" spans="1:32" ht="51.75" customHeight="1">
      <c r="A19" s="2">
        <v>6</v>
      </c>
      <c r="B19" s="5" t="s">
        <v>15</v>
      </c>
      <c r="C19" s="4">
        <f>'ДОРОЖНЫЕ РАБОТЫ'!G14</f>
        <v>364</v>
      </c>
      <c r="D19" s="4">
        <f>'ДОРОЖНЫЕ РАБОТЫ  ЦИИ'!I14</f>
        <v>578183.2782800001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19"/>
      <c r="P19" s="4"/>
      <c r="Q19" s="4">
        <v>6</v>
      </c>
      <c r="R19" s="51">
        <v>29949.64</v>
      </c>
      <c r="S19" s="4">
        <v>6</v>
      </c>
      <c r="T19" s="4">
        <f>S19*2500</f>
        <v>15000</v>
      </c>
      <c r="U19" s="4"/>
      <c r="V19" s="4"/>
      <c r="W19" s="4"/>
      <c r="X19" s="4"/>
      <c r="Y19" s="4"/>
      <c r="Z19" s="4"/>
      <c r="AA19" s="4"/>
      <c r="AB19" s="4">
        <f t="shared" si="1"/>
        <v>623132.9182800001</v>
      </c>
      <c r="AC19" s="4">
        <f>AC23/AB23*AB19</f>
        <v>274801.59757760965</v>
      </c>
      <c r="AD19" s="4">
        <f t="shared" si="2"/>
        <v>286018.0546093459</v>
      </c>
      <c r="AE19" s="4">
        <f>AE23/AB23*AB19</f>
        <v>62313.26609304455</v>
      </c>
      <c r="AF19" s="1">
        <f t="shared" si="3"/>
        <v>623132.9182800001</v>
      </c>
    </row>
    <row r="20" spans="1:32" ht="72" customHeight="1">
      <c r="A20" s="2">
        <v>7</v>
      </c>
      <c r="B20" s="5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9" t="s">
        <v>54</v>
      </c>
      <c r="P20" s="4">
        <v>111543.55</v>
      </c>
      <c r="Q20" s="4"/>
      <c r="R20" s="4">
        <f t="shared" si="0"/>
        <v>0</v>
      </c>
      <c r="S20" s="4"/>
      <c r="T20" s="4"/>
      <c r="U20" s="4">
        <v>228748</v>
      </c>
      <c r="V20" s="4">
        <v>44715</v>
      </c>
      <c r="W20" s="4">
        <v>25147</v>
      </c>
      <c r="X20" s="51">
        <v>63350</v>
      </c>
      <c r="Y20" s="4"/>
      <c r="Z20" s="4">
        <f>(U20+V20+W20+X20+Y20)*0.214</f>
        <v>77459.44</v>
      </c>
      <c r="AA20" s="4">
        <f>SUM(U20:Z20)</f>
        <v>439419.44</v>
      </c>
      <c r="AB20" s="4">
        <f t="shared" si="1"/>
        <v>550962.99</v>
      </c>
      <c r="AC20" s="4">
        <f>AC23/AB23*AB20</f>
        <v>242974.6614511282</v>
      </c>
      <c r="AD20" s="4">
        <f t="shared" si="2"/>
        <v>252892.0523032595</v>
      </c>
      <c r="AE20" s="4">
        <f>AE23/AB23*AB20</f>
        <v>55096.2762456123</v>
      </c>
      <c r="AF20" s="1">
        <f t="shared" si="3"/>
        <v>550962.99</v>
      </c>
    </row>
    <row r="21" spans="1:32" ht="58.5" customHeight="1">
      <c r="A21" s="2">
        <v>8</v>
      </c>
      <c r="B21" s="5" t="s">
        <v>18</v>
      </c>
      <c r="C21" s="4"/>
      <c r="D21" s="4"/>
      <c r="E21" s="2"/>
      <c r="F21" s="2"/>
      <c r="G21" s="4"/>
      <c r="H21" s="4"/>
      <c r="I21" s="4">
        <v>60</v>
      </c>
      <c r="J21" s="4">
        <v>59966</v>
      </c>
      <c r="K21" s="4"/>
      <c r="L21" s="4"/>
      <c r="M21" s="4">
        <v>100</v>
      </c>
      <c r="N21" s="4">
        <f>'ДОРОЖНЫЕ РАБОТЫ  ЦИИ'!R16</f>
        <v>175907.74534</v>
      </c>
      <c r="O21" s="19"/>
      <c r="P21" s="4"/>
      <c r="Q21" s="4">
        <v>2</v>
      </c>
      <c r="R21" s="4">
        <f t="shared" si="0"/>
        <v>11400</v>
      </c>
      <c r="S21" s="4">
        <v>1</v>
      </c>
      <c r="T21" s="4">
        <f>S21*2500</f>
        <v>2500</v>
      </c>
      <c r="U21" s="4"/>
      <c r="V21" s="4"/>
      <c r="W21" s="4"/>
      <c r="X21" s="4"/>
      <c r="Y21" s="4"/>
      <c r="Z21" s="4"/>
      <c r="AA21" s="4"/>
      <c r="AB21" s="4">
        <f t="shared" si="1"/>
        <v>249773.74534</v>
      </c>
      <c r="AC21" s="4">
        <f>AC23/AB23*AB21</f>
        <v>110150.21392519814</v>
      </c>
      <c r="AD21" s="4">
        <f t="shared" si="2"/>
        <v>114646.16719628352</v>
      </c>
      <c r="AE21" s="4">
        <f>AE23/AB23*AB21</f>
        <v>24977.364218518305</v>
      </c>
      <c r="AF21" s="1">
        <f t="shared" si="3"/>
        <v>249773.74533999996</v>
      </c>
    </row>
    <row r="22" spans="1:32" ht="53.25" customHeight="1">
      <c r="A22" s="2">
        <v>9</v>
      </c>
      <c r="B22" s="5" t="s">
        <v>19</v>
      </c>
      <c r="C22" s="48">
        <f>'ДОРОЖНЫЕ РАБОТЫ'!G17</f>
        <v>490</v>
      </c>
      <c r="D22" s="48">
        <f>'ДОРОЖНЫЕ РАБОТЫ  ЦИИ'!I17</f>
        <v>837901.9550666303</v>
      </c>
      <c r="E22" s="48">
        <v>54</v>
      </c>
      <c r="F22" s="49">
        <f>'ДОРОЖНЫЕ РАБОТЫ  ЦИИ'!O17</f>
        <v>56491.81140851858</v>
      </c>
      <c r="G22" s="48"/>
      <c r="H22" s="48"/>
      <c r="I22" s="48"/>
      <c r="J22" s="48"/>
      <c r="K22" s="48"/>
      <c r="L22" s="48"/>
      <c r="M22" s="48"/>
      <c r="N22" s="48"/>
      <c r="O22" s="50" t="s">
        <v>55</v>
      </c>
      <c r="P22" s="48">
        <v>32428.47</v>
      </c>
      <c r="Q22" s="48">
        <v>2</v>
      </c>
      <c r="R22" s="52">
        <f>5700*Q22</f>
        <v>11400</v>
      </c>
      <c r="S22" s="48">
        <v>2</v>
      </c>
      <c r="T22" s="4">
        <f>S22*2500</f>
        <v>5000</v>
      </c>
      <c r="U22" s="17"/>
      <c r="V22" s="17"/>
      <c r="W22" s="17"/>
      <c r="X22" s="17"/>
      <c r="Y22" s="17"/>
      <c r="Z22" s="17"/>
      <c r="AA22" s="17"/>
      <c r="AB22" s="4">
        <f t="shared" si="1"/>
        <v>943222.2364751488</v>
      </c>
      <c r="AC22" s="4">
        <f>AC23/AB23*AB22</f>
        <v>415960.9769446134</v>
      </c>
      <c r="AD22" s="4">
        <f t="shared" si="2"/>
        <v>432939.0748374419</v>
      </c>
      <c r="AE22" s="4">
        <f>AE23/AB23*AB22</f>
        <v>94322.18469309354</v>
      </c>
      <c r="AF22" s="1">
        <f t="shared" si="3"/>
        <v>943222.2364751488</v>
      </c>
    </row>
    <row r="23" spans="1:31" ht="12.75">
      <c r="A23" s="2"/>
      <c r="B23" s="6" t="s">
        <v>20</v>
      </c>
      <c r="C23" s="17">
        <f aca="true" t="shared" si="4" ref="C23:AB23">SUM(C14:C22)</f>
        <v>3776</v>
      </c>
      <c r="D23" s="17">
        <f t="shared" si="4"/>
        <v>5360815.738379835</v>
      </c>
      <c r="E23" s="17">
        <f t="shared" si="4"/>
        <v>1894</v>
      </c>
      <c r="F23" s="17">
        <f t="shared" si="4"/>
        <v>1952415.3949682496</v>
      </c>
      <c r="G23" s="17">
        <f t="shared" si="4"/>
        <v>386.1</v>
      </c>
      <c r="H23" s="17">
        <f t="shared" si="4"/>
        <v>589219.4280000001</v>
      </c>
      <c r="I23" s="17">
        <f t="shared" si="4"/>
        <v>60</v>
      </c>
      <c r="J23" s="17">
        <f t="shared" si="4"/>
        <v>59966</v>
      </c>
      <c r="K23" s="17">
        <f t="shared" si="4"/>
        <v>1297</v>
      </c>
      <c r="L23" s="17">
        <f t="shared" si="4"/>
        <v>2257671.117703383</v>
      </c>
      <c r="M23" s="17">
        <f t="shared" si="4"/>
        <v>100</v>
      </c>
      <c r="N23" s="17">
        <f t="shared" si="4"/>
        <v>175907.74534</v>
      </c>
      <c r="O23" s="17">
        <f t="shared" si="4"/>
        <v>0</v>
      </c>
      <c r="P23" s="17">
        <f t="shared" si="4"/>
        <v>263636.86</v>
      </c>
      <c r="Q23" s="17">
        <f t="shared" si="4"/>
        <v>26</v>
      </c>
      <c r="R23" s="17">
        <f t="shared" si="4"/>
        <v>143949.64</v>
      </c>
      <c r="S23" s="17">
        <f t="shared" si="4"/>
        <v>25</v>
      </c>
      <c r="T23" s="17">
        <f t="shared" si="4"/>
        <v>58555.34</v>
      </c>
      <c r="U23" s="17">
        <f t="shared" si="4"/>
        <v>644623</v>
      </c>
      <c r="V23" s="17">
        <f t="shared" si="4"/>
        <v>147415</v>
      </c>
      <c r="W23" s="17">
        <f t="shared" si="4"/>
        <v>50294</v>
      </c>
      <c r="X23" s="17">
        <f t="shared" si="4"/>
        <v>126700</v>
      </c>
      <c r="Y23" s="17">
        <f t="shared" si="4"/>
        <v>67158</v>
      </c>
      <c r="Z23" s="17">
        <f t="shared" si="4"/>
        <v>219047.74</v>
      </c>
      <c r="AA23" s="17">
        <f t="shared" si="4"/>
        <v>1255237.74</v>
      </c>
      <c r="AB23" s="17">
        <f t="shared" si="4"/>
        <v>12117375.004391469</v>
      </c>
      <c r="AC23" s="17">
        <v>5343762</v>
      </c>
      <c r="AD23" s="17">
        <v>5561876</v>
      </c>
      <c r="AE23" s="17">
        <v>1211737</v>
      </c>
    </row>
    <row r="24" spans="1:32" ht="12.75">
      <c r="A24" s="2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>
        <f>SUM(AC14:AC22)</f>
        <v>5343762</v>
      </c>
      <c r="AD24" s="4">
        <f>SUM(AD14:AD22)</f>
        <v>5561876.004391468</v>
      </c>
      <c r="AE24" s="4">
        <f>SUM(AE14:AE22)</f>
        <v>1211737</v>
      </c>
      <c r="AF24" s="4">
        <f>SUM(AF14:AF22)</f>
        <v>12117375.004391469</v>
      </c>
    </row>
    <row r="25" spans="1:32" ht="12.75">
      <c r="A25" s="2"/>
      <c r="B25" s="2"/>
      <c r="C25" s="2"/>
      <c r="D25" s="2"/>
      <c r="E25" s="2"/>
      <c r="F25" s="2" t="s">
        <v>63</v>
      </c>
      <c r="G25" s="2"/>
      <c r="H25" s="2"/>
      <c r="I25" s="2"/>
      <c r="J25" s="2"/>
      <c r="K25" s="2"/>
      <c r="L25" s="2"/>
      <c r="M25" s="2"/>
      <c r="N25" s="4">
        <f>D23+F23+L23+N23</f>
        <v>9746809.996391468</v>
      </c>
      <c r="O25" s="2"/>
      <c r="P25" s="4"/>
      <c r="Q25" s="2"/>
      <c r="R25" s="4"/>
      <c r="S25" s="2"/>
      <c r="T25" s="4"/>
      <c r="U25" s="4"/>
      <c r="V25" s="4"/>
      <c r="W25" s="4"/>
      <c r="X25" s="4"/>
      <c r="Y25" s="4"/>
      <c r="Z25" s="4"/>
      <c r="AA25" s="4"/>
      <c r="AB25" s="4"/>
      <c r="AC25" s="4"/>
      <c r="AD25" s="2"/>
      <c r="AE25" s="2"/>
      <c r="AF25" s="1"/>
    </row>
    <row r="26" spans="1:31" ht="12.75">
      <c r="A26" s="2"/>
      <c r="B26" s="2"/>
      <c r="C26" s="2"/>
      <c r="D26" s="2"/>
      <c r="E26" s="2"/>
      <c r="F26" s="2" t="s">
        <v>64</v>
      </c>
      <c r="G26" s="2"/>
      <c r="H26" s="2"/>
      <c r="I26" s="2"/>
      <c r="J26" s="2"/>
      <c r="K26" s="2"/>
      <c r="L26" s="2"/>
      <c r="M26" s="2"/>
      <c r="N26" s="4">
        <f>J21</f>
        <v>59966</v>
      </c>
      <c r="O26" s="2"/>
      <c r="P26" s="4"/>
      <c r="Q26" s="2"/>
      <c r="R26" s="4"/>
      <c r="S26" s="2"/>
      <c r="T26" s="4"/>
      <c r="U26" s="4"/>
      <c r="V26" s="4"/>
      <c r="W26" s="4"/>
      <c r="X26" s="4"/>
      <c r="Y26" s="4"/>
      <c r="Z26" s="4"/>
      <c r="AA26" s="4"/>
      <c r="AB26" s="11">
        <v>12117375</v>
      </c>
      <c r="AC26" s="11"/>
      <c r="AD26" s="2"/>
      <c r="AE26" s="2"/>
    </row>
    <row r="27" spans="6:29" ht="12.75">
      <c r="F27" t="s">
        <v>65</v>
      </c>
      <c r="N27" s="1">
        <f>H23</f>
        <v>589219.4280000001</v>
      </c>
      <c r="P27" s="1"/>
      <c r="R27" s="1"/>
      <c r="T27" s="1"/>
      <c r="U27" s="1"/>
      <c r="V27" s="1"/>
      <c r="W27" s="1"/>
      <c r="X27" s="1"/>
      <c r="Y27" s="1"/>
      <c r="Z27" s="1"/>
      <c r="AA27" s="1"/>
      <c r="AB27" s="23"/>
      <c r="AC27" s="23"/>
    </row>
    <row r="28" spans="6:29" ht="12.75">
      <c r="F28" t="s">
        <v>9</v>
      </c>
      <c r="L28" s="1"/>
      <c r="N28" s="1">
        <f>SUM(N25:N27)</f>
        <v>10395995.424391467</v>
      </c>
      <c r="P28" s="1"/>
      <c r="R28" s="1"/>
      <c r="T28" s="1"/>
      <c r="U28" s="1"/>
      <c r="V28" s="1"/>
      <c r="W28" s="1"/>
      <c r="X28" s="1"/>
      <c r="Y28" s="1"/>
      <c r="Z28" s="1"/>
      <c r="AA28" s="1"/>
      <c r="AB28" s="1">
        <f>AB26-AB23</f>
        <v>-0.004391469061374664</v>
      </c>
      <c r="AC28" s="1"/>
    </row>
    <row r="29" spans="16:29" ht="12.75">
      <c r="P29" s="1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6:29" ht="12.75">
      <c r="P30" s="1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6:29" ht="12.75">
      <c r="P31" s="1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6:29" ht="12.75">
      <c r="F32" t="s">
        <v>69</v>
      </c>
      <c r="H32">
        <v>1681.48</v>
      </c>
      <c r="L32" s="1"/>
      <c r="P32" s="1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6:29" ht="12.75">
      <c r="P33" s="1"/>
      <c r="R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8:29" ht="12.75"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8:29" ht="12.75"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4:29" ht="12.75">
      <c r="D36" t="s">
        <v>79</v>
      </c>
      <c r="F36" s="1">
        <f>N25</f>
        <v>9746809.996391468</v>
      </c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4:29" ht="12.75">
      <c r="D37" t="s">
        <v>78</v>
      </c>
      <c r="F37" s="1">
        <f>J23+' общего пользования ЦИИ'!D18</f>
        <v>2014711.75</v>
      </c>
      <c r="U37" s="1"/>
      <c r="V37" s="1"/>
      <c r="W37" s="1"/>
      <c r="X37" s="1"/>
      <c r="Y37" s="1"/>
      <c r="Z37" s="1"/>
      <c r="AA37" s="1"/>
      <c r="AB37" s="1"/>
      <c r="AC37" s="1"/>
    </row>
    <row r="38" spans="4:29" ht="12.75">
      <c r="D38" t="s">
        <v>65</v>
      </c>
      <c r="F38" s="1">
        <f>H23+' общего пользования ЦИИ'!F18</f>
        <v>2518578.268</v>
      </c>
      <c r="U38" s="1"/>
      <c r="V38" s="1"/>
      <c r="W38" s="1"/>
      <c r="X38" s="1"/>
      <c r="Y38" s="1"/>
      <c r="Z38" s="1"/>
      <c r="AA38" s="1"/>
      <c r="AB38" s="1"/>
      <c r="AC38" s="1"/>
    </row>
    <row r="39" spans="4:6" ht="12.75">
      <c r="D39" t="s">
        <v>80</v>
      </c>
      <c r="F39" s="1">
        <f>P23+' общего пользования ЦИИ'!H18</f>
        <v>656655.27</v>
      </c>
    </row>
    <row r="40" spans="4:6" ht="12.75">
      <c r="D40" t="s">
        <v>81</v>
      </c>
      <c r="F40" s="1">
        <f>T23+' общего пользования ЦИИ'!L18</f>
        <v>103555.34</v>
      </c>
    </row>
    <row r="41" spans="4:6" ht="12.75">
      <c r="D41" t="s">
        <v>82</v>
      </c>
      <c r="F41" s="1">
        <f>R23+' общего пользования ЦИИ'!J18</f>
        <v>269349.64</v>
      </c>
    </row>
    <row r="42" spans="4:6" ht="12.75">
      <c r="D42" t="s">
        <v>83</v>
      </c>
      <c r="F42" s="1">
        <f>AA23</f>
        <v>1255237.74</v>
      </c>
    </row>
    <row r="43" spans="4:6" ht="12.75">
      <c r="D43" t="s">
        <v>84</v>
      </c>
      <c r="F43" s="12">
        <f>' общего пользования ЦИИ'!Q18+' общего пользования ЦИИ'!T18+' общего пользования ЦИИ'!W18</f>
        <v>1344111</v>
      </c>
    </row>
    <row r="44" spans="4:6" ht="12.75">
      <c r="D44" t="s">
        <v>17</v>
      </c>
      <c r="F44" s="12">
        <f>' общего пользования ЦИИ'!N18</f>
        <v>267057</v>
      </c>
    </row>
    <row r="45" spans="4:6" ht="12.75">
      <c r="D45" t="s">
        <v>85</v>
      </c>
      <c r="F45" s="1">
        <f>SUM(F36:F44)</f>
        <v>18176066.00439147</v>
      </c>
    </row>
    <row r="47" ht="12.75">
      <c r="F47" s="12">
        <f>AB26+' общего пользования ЦИИ'!X20</f>
        <v>18176066</v>
      </c>
    </row>
    <row r="48" ht="12.75">
      <c r="F48" s="1">
        <f>F47-F45</f>
        <v>-0.004391469061374664</v>
      </c>
    </row>
  </sheetData>
  <sheetProtection/>
  <mergeCells count="35">
    <mergeCell ref="K12:K13"/>
    <mergeCell ref="Q10:R11"/>
    <mergeCell ref="S10:T11"/>
    <mergeCell ref="E11:J11"/>
    <mergeCell ref="O10:P11"/>
    <mergeCell ref="A10:A13"/>
    <mergeCell ref="X11:X13"/>
    <mergeCell ref="Y11:Y13"/>
    <mergeCell ref="E12:F12"/>
    <mergeCell ref="G12:H12"/>
    <mergeCell ref="M12:M13"/>
    <mergeCell ref="N12:N13"/>
    <mergeCell ref="P12:P13"/>
    <mergeCell ref="R12:R13"/>
    <mergeCell ref="L12:L13"/>
    <mergeCell ref="AB10:AB13"/>
    <mergeCell ref="B10:B13"/>
    <mergeCell ref="K11:L11"/>
    <mergeCell ref="M11:N11"/>
    <mergeCell ref="Z11:Z13"/>
    <mergeCell ref="AA11:AA13"/>
    <mergeCell ref="C10:N10"/>
    <mergeCell ref="I12:J12"/>
    <mergeCell ref="S12:S13"/>
    <mergeCell ref="Q12:Q13"/>
    <mergeCell ref="C11:D11"/>
    <mergeCell ref="C12:C13"/>
    <mergeCell ref="B8:AA8"/>
    <mergeCell ref="U10:AA10"/>
    <mergeCell ref="O12:O13"/>
    <mergeCell ref="D12:D13"/>
    <mergeCell ref="W11:W13"/>
    <mergeCell ref="U11:U13"/>
    <mergeCell ref="V11:V13"/>
    <mergeCell ref="T12:T13"/>
  </mergeCells>
  <printOptions/>
  <pageMargins left="0.26" right="0.18" top="0.38" bottom="0.61" header="0.5" footer="0.5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AA33"/>
  <sheetViews>
    <sheetView workbookViewId="0" topLeftCell="D7">
      <selection activeCell="H14" sqref="H14"/>
    </sheetView>
  </sheetViews>
  <sheetFormatPr defaultColWidth="9.00390625" defaultRowHeight="12.75"/>
  <cols>
    <col min="1" max="1" width="5.625" style="0" customWidth="1"/>
    <col min="2" max="2" width="20.125" style="0" customWidth="1"/>
    <col min="3" max="3" width="6.25390625" style="0" customWidth="1"/>
    <col min="4" max="4" width="12.125" style="0" customWidth="1"/>
    <col min="5" max="5" width="5.25390625" style="0" customWidth="1"/>
    <col min="6" max="6" width="11.375" style="0" customWidth="1"/>
    <col min="7" max="7" width="5.00390625" style="0" customWidth="1"/>
    <col min="8" max="8" width="10.25390625" style="0" customWidth="1"/>
    <col min="9" max="9" width="5.375" style="0" customWidth="1"/>
    <col min="10" max="10" width="8.25390625" style="0" customWidth="1"/>
    <col min="11" max="11" width="5.875" style="0" customWidth="1"/>
    <col min="12" max="12" width="10.125" style="0" customWidth="1"/>
    <col min="13" max="13" width="6.625" style="0" customWidth="1"/>
    <col min="14" max="14" width="8.625" style="0" customWidth="1"/>
    <col min="15" max="15" width="8.75390625" style="0" customWidth="1"/>
    <col min="16" max="16" width="8.125" style="0" customWidth="1"/>
    <col min="17" max="17" width="8.00390625" style="0" customWidth="1"/>
    <col min="18" max="18" width="8.25390625" style="0" customWidth="1"/>
    <col min="19" max="19" width="8.125" style="0" customWidth="1"/>
    <col min="20" max="20" width="8.75390625" style="0" customWidth="1"/>
    <col min="21" max="21" width="8.625" style="0" customWidth="1"/>
    <col min="22" max="23" width="8.00390625" style="0" customWidth="1"/>
    <col min="24" max="24" width="12.00390625" style="0" customWidth="1"/>
    <col min="25" max="26" width="11.75390625" style="0" bestFit="1" customWidth="1"/>
    <col min="27" max="27" width="10.125" style="0" bestFit="1" customWidth="1"/>
  </cols>
  <sheetData>
    <row r="8" spans="2:23" ht="30.75" customHeight="1">
      <c r="B8" s="75" t="s">
        <v>36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10" spans="1:27" ht="24.75" customHeight="1">
      <c r="A10" s="64" t="s">
        <v>22</v>
      </c>
      <c r="B10" s="64" t="s">
        <v>21</v>
      </c>
      <c r="C10" s="67" t="s">
        <v>24</v>
      </c>
      <c r="D10" s="68"/>
      <c r="E10" s="68"/>
      <c r="F10" s="69"/>
      <c r="G10" s="59" t="s">
        <v>2</v>
      </c>
      <c r="H10" s="59"/>
      <c r="I10" s="59" t="s">
        <v>3</v>
      </c>
      <c r="J10" s="59"/>
      <c r="K10" s="64" t="s">
        <v>4</v>
      </c>
      <c r="L10" s="64"/>
      <c r="M10" s="64" t="s">
        <v>17</v>
      </c>
      <c r="N10" s="64"/>
      <c r="O10" s="64" t="s">
        <v>27</v>
      </c>
      <c r="P10" s="64"/>
      <c r="Q10" s="64"/>
      <c r="R10" s="64"/>
      <c r="S10" s="64"/>
      <c r="T10" s="64"/>
      <c r="U10" s="64"/>
      <c r="V10" s="64"/>
      <c r="W10" s="64"/>
      <c r="X10" s="64" t="s">
        <v>10</v>
      </c>
      <c r="Y10" s="2"/>
      <c r="Z10" s="2"/>
      <c r="AA10" s="2"/>
    </row>
    <row r="11" spans="1:27" ht="15" customHeight="1">
      <c r="A11" s="64"/>
      <c r="B11" s="64"/>
      <c r="C11" s="70" t="s">
        <v>66</v>
      </c>
      <c r="D11" s="71"/>
      <c r="E11" s="71" t="s">
        <v>65</v>
      </c>
      <c r="F11" s="74"/>
      <c r="G11" s="59"/>
      <c r="H11" s="72" t="s">
        <v>1</v>
      </c>
      <c r="I11" s="59"/>
      <c r="J11" s="72" t="s">
        <v>1</v>
      </c>
      <c r="K11" s="64"/>
      <c r="L11" s="72" t="s">
        <v>1</v>
      </c>
      <c r="M11" s="64" t="s">
        <v>70</v>
      </c>
      <c r="N11" s="72" t="s">
        <v>1</v>
      </c>
      <c r="O11" s="64" t="s">
        <v>30</v>
      </c>
      <c r="P11" s="64"/>
      <c r="Q11" s="64"/>
      <c r="R11" s="64" t="s">
        <v>29</v>
      </c>
      <c r="S11" s="64"/>
      <c r="T11" s="64"/>
      <c r="U11" s="64" t="s">
        <v>33</v>
      </c>
      <c r="V11" s="64"/>
      <c r="W11" s="64"/>
      <c r="X11" s="64"/>
      <c r="Y11" s="15"/>
      <c r="Z11" s="2"/>
      <c r="AA11" s="2"/>
    </row>
    <row r="12" spans="1:27" ht="27" customHeight="1">
      <c r="A12" s="64"/>
      <c r="B12" s="64"/>
      <c r="C12" s="22" t="s">
        <v>40</v>
      </c>
      <c r="D12" s="22" t="s">
        <v>1</v>
      </c>
      <c r="E12" s="22" t="s">
        <v>40</v>
      </c>
      <c r="F12" s="22" t="s">
        <v>1</v>
      </c>
      <c r="G12" s="59"/>
      <c r="H12" s="73"/>
      <c r="I12" s="59"/>
      <c r="J12" s="73"/>
      <c r="K12" s="64"/>
      <c r="L12" s="73"/>
      <c r="M12" s="64"/>
      <c r="N12" s="73"/>
      <c r="O12" s="13" t="s">
        <v>31</v>
      </c>
      <c r="P12" s="13" t="s">
        <v>8</v>
      </c>
      <c r="Q12" s="13" t="s">
        <v>32</v>
      </c>
      <c r="R12" s="13" t="s">
        <v>31</v>
      </c>
      <c r="S12" s="13" t="s">
        <v>8</v>
      </c>
      <c r="T12" s="13" t="s">
        <v>32</v>
      </c>
      <c r="U12" s="7" t="s">
        <v>28</v>
      </c>
      <c r="V12" s="13" t="s">
        <v>34</v>
      </c>
      <c r="W12" s="7" t="s">
        <v>9</v>
      </c>
      <c r="X12" s="64"/>
      <c r="Y12" s="15" t="s">
        <v>73</v>
      </c>
      <c r="Z12" s="15" t="s">
        <v>71</v>
      </c>
      <c r="AA12" s="15" t="s">
        <v>72</v>
      </c>
    </row>
    <row r="13" spans="1:27" ht="66.75" customHeight="1">
      <c r="A13" s="2">
        <v>1</v>
      </c>
      <c r="B13" s="14" t="s">
        <v>23</v>
      </c>
      <c r="C13" s="10">
        <v>434</v>
      </c>
      <c r="D13" s="4">
        <v>423542.96</v>
      </c>
      <c r="E13" s="4"/>
      <c r="F13" s="4"/>
      <c r="G13" s="25">
        <v>8</v>
      </c>
      <c r="H13" s="27">
        <f>161196.85-23321.06</f>
        <v>137875.79</v>
      </c>
      <c r="I13" s="2">
        <v>4</v>
      </c>
      <c r="J13" s="10">
        <f>5700*I13</f>
        <v>22800</v>
      </c>
      <c r="K13" s="2">
        <v>3</v>
      </c>
      <c r="L13" s="10">
        <f>K13*2500</f>
        <v>7500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>
        <f>W13+T13+Q13+N13+L13+J13+H13+D13+F13</f>
        <v>591718.75</v>
      </c>
      <c r="Y13" s="4">
        <f>X13-Z13-AA13</f>
        <v>260947.79969282966</v>
      </c>
      <c r="Z13" s="4">
        <f>Z18/X18*X13</f>
        <v>271598.69441579876</v>
      </c>
      <c r="AA13" s="4">
        <f>AA18/X18*X13</f>
        <v>59172.255891371584</v>
      </c>
    </row>
    <row r="14" spans="1:27" ht="72.75" customHeight="1">
      <c r="A14" s="2">
        <v>2</v>
      </c>
      <c r="B14" s="5" t="s">
        <v>25</v>
      </c>
      <c r="C14" s="10">
        <v>1569</v>
      </c>
      <c r="D14" s="26">
        <f>C14*975.91</f>
        <v>1531202.79</v>
      </c>
      <c r="E14" s="24">
        <f>540+429</f>
        <v>969</v>
      </c>
      <c r="F14" s="26">
        <v>1453500</v>
      </c>
      <c r="G14" s="2">
        <v>6</v>
      </c>
      <c r="H14" s="4">
        <v>77571.31</v>
      </c>
      <c r="I14" s="2">
        <v>8</v>
      </c>
      <c r="J14" s="10">
        <f>5700*I14</f>
        <v>45600</v>
      </c>
      <c r="K14" s="2">
        <v>5</v>
      </c>
      <c r="L14" s="10">
        <f>K14*2500</f>
        <v>12500</v>
      </c>
      <c r="M14" s="2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f>W14+T14+Q14+N14+L14+J14+H14+D14+F14</f>
        <v>3120374.1</v>
      </c>
      <c r="Y14" s="4">
        <f>X14-Z14-AA14</f>
        <v>1376084.0865926486</v>
      </c>
      <c r="Z14" s="4">
        <f>Z18/X18*X14</f>
        <v>1432250.5948119322</v>
      </c>
      <c r="AA14" s="4">
        <f>AA18/X18*X14</f>
        <v>312039.4185954194</v>
      </c>
    </row>
    <row r="15" spans="1:27" ht="66" customHeight="1">
      <c r="A15" s="2">
        <v>3</v>
      </c>
      <c r="B15" s="5" t="s">
        <v>26</v>
      </c>
      <c r="C15" s="4"/>
      <c r="D15" s="4"/>
      <c r="E15" s="24">
        <v>283</v>
      </c>
      <c r="F15" s="26">
        <v>475858.84</v>
      </c>
      <c r="G15" s="25">
        <v>6</v>
      </c>
      <c r="H15" s="4">
        <f>77571.31</f>
        <v>77571.31</v>
      </c>
      <c r="I15" s="2">
        <v>6</v>
      </c>
      <c r="J15" s="10">
        <f>5700*I15</f>
        <v>34200</v>
      </c>
      <c r="K15" s="2">
        <v>6</v>
      </c>
      <c r="L15" s="10">
        <f>K15*2500</f>
        <v>15000</v>
      </c>
      <c r="M15" s="10">
        <v>310</v>
      </c>
      <c r="N15" s="10">
        <v>267057</v>
      </c>
      <c r="O15" s="10"/>
      <c r="P15" s="10"/>
      <c r="Q15" s="10"/>
      <c r="R15" s="10"/>
      <c r="S15" s="10"/>
      <c r="T15" s="10"/>
      <c r="U15" s="10"/>
      <c r="V15" s="10"/>
      <c r="W15" s="10"/>
      <c r="X15" s="10">
        <f>W15+T15+Q15+N15+L15+J15+H15+D15+F15</f>
        <v>869687.15</v>
      </c>
      <c r="Y15" s="4">
        <f>X15-Z15-AA15</f>
        <v>383531.7846757906</v>
      </c>
      <c r="Z15" s="4">
        <f>Z18/X18*X15</f>
        <v>399186.09050363355</v>
      </c>
      <c r="AA15" s="4">
        <f>AA18/X18*X15</f>
        <v>86969.27482057593</v>
      </c>
    </row>
    <row r="16" spans="1:27" ht="79.5" customHeight="1">
      <c r="A16" s="2">
        <v>4</v>
      </c>
      <c r="B16" s="5" t="s">
        <v>37</v>
      </c>
      <c r="C16" s="4"/>
      <c r="D16" s="4"/>
      <c r="E16" s="4"/>
      <c r="F16" s="4"/>
      <c r="G16" s="2"/>
      <c r="H16" s="4"/>
      <c r="I16" s="2">
        <v>2</v>
      </c>
      <c r="J16" s="10">
        <f>5700*I16</f>
        <v>11400</v>
      </c>
      <c r="K16" s="2">
        <v>2</v>
      </c>
      <c r="L16" s="10">
        <f>K16*2500</f>
        <v>5000</v>
      </c>
      <c r="M16" s="10"/>
      <c r="N16" s="10"/>
      <c r="O16" s="10">
        <f>400298-5000-69702</f>
        <v>325596</v>
      </c>
      <c r="P16" s="10">
        <v>69702</v>
      </c>
      <c r="Q16" s="10">
        <f>SUM(O16:P16)</f>
        <v>395298</v>
      </c>
      <c r="R16" s="10">
        <v>314943</v>
      </c>
      <c r="S16" s="10">
        <v>35000</v>
      </c>
      <c r="T16" s="10">
        <f>SUM(R16:S16)</f>
        <v>349943</v>
      </c>
      <c r="U16" s="10">
        <v>525195</v>
      </c>
      <c r="V16" s="10">
        <f>33675+40000</f>
        <v>73675</v>
      </c>
      <c r="W16" s="10">
        <f>SUM(U16:V16)</f>
        <v>598870</v>
      </c>
      <c r="X16" s="10">
        <f>W16+T16+Q16+N16+L16+J16+H16+D16+F16</f>
        <v>1360511</v>
      </c>
      <c r="Y16" s="4">
        <f>X16-Z16-AA16</f>
        <v>599984.9622948257</v>
      </c>
      <c r="Z16" s="4">
        <f>Z18/X18*X16</f>
        <v>624474.061939617</v>
      </c>
      <c r="AA16" s="4">
        <f>AA18/X18*X16</f>
        <v>136051.97576555726</v>
      </c>
    </row>
    <row r="17" spans="1:27" ht="27" customHeight="1">
      <c r="A17" s="2">
        <v>5</v>
      </c>
      <c r="B17" s="5" t="s">
        <v>35</v>
      </c>
      <c r="C17" s="4"/>
      <c r="D17" s="4"/>
      <c r="E17" s="4"/>
      <c r="F17" s="4"/>
      <c r="G17" s="2">
        <v>8</v>
      </c>
      <c r="H17" s="4">
        <v>100000</v>
      </c>
      <c r="I17" s="2">
        <v>2</v>
      </c>
      <c r="J17" s="10">
        <f>5700*I17</f>
        <v>11400</v>
      </c>
      <c r="K17" s="2">
        <v>2</v>
      </c>
      <c r="L17" s="10">
        <f>K17*2500</f>
        <v>5000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>
        <f>W17+T17+Q17+N17+L17+J17+H17+D17+F17</f>
        <v>116400</v>
      </c>
      <c r="Y17" s="4">
        <f>X17-Z17-AA17</f>
        <v>51332.36674390557</v>
      </c>
      <c r="Z17" s="4">
        <f>Z18/X18*X17</f>
        <v>53427.5583290186</v>
      </c>
      <c r="AA17" s="4">
        <f>AA18/X18*X17</f>
        <v>11640.074927075832</v>
      </c>
    </row>
    <row r="18" spans="1:27" ht="12.75">
      <c r="A18" s="2"/>
      <c r="B18" s="6" t="s">
        <v>20</v>
      </c>
      <c r="C18" s="11">
        <f aca="true" t="shared" si="0" ref="C18:L18">SUM(C13:C17)</f>
        <v>2003</v>
      </c>
      <c r="D18" s="11">
        <f t="shared" si="0"/>
        <v>1954745.75</v>
      </c>
      <c r="E18" s="11">
        <f t="shared" si="0"/>
        <v>1252</v>
      </c>
      <c r="F18" s="11">
        <f t="shared" si="0"/>
        <v>1929358.84</v>
      </c>
      <c r="G18" s="11">
        <f t="shared" si="0"/>
        <v>28</v>
      </c>
      <c r="H18" s="11">
        <f t="shared" si="0"/>
        <v>393018.41000000003</v>
      </c>
      <c r="I18" s="11">
        <f t="shared" si="0"/>
        <v>22</v>
      </c>
      <c r="J18" s="11">
        <f t="shared" si="0"/>
        <v>125400</v>
      </c>
      <c r="K18" s="11">
        <f t="shared" si="0"/>
        <v>18</v>
      </c>
      <c r="L18" s="11">
        <f t="shared" si="0"/>
        <v>45000</v>
      </c>
      <c r="M18" s="11">
        <f>SUM(M14:M17)</f>
        <v>310</v>
      </c>
      <c r="N18" s="11">
        <f aca="true" t="shared" si="1" ref="N18:X18">SUM(N13:N17)</f>
        <v>267057</v>
      </c>
      <c r="O18" s="11">
        <f t="shared" si="1"/>
        <v>325596</v>
      </c>
      <c r="P18" s="11">
        <f t="shared" si="1"/>
        <v>69702</v>
      </c>
      <c r="Q18" s="11">
        <f t="shared" si="1"/>
        <v>395298</v>
      </c>
      <c r="R18" s="11">
        <f t="shared" si="1"/>
        <v>314943</v>
      </c>
      <c r="S18" s="11">
        <f t="shared" si="1"/>
        <v>35000</v>
      </c>
      <c r="T18" s="11">
        <f t="shared" si="1"/>
        <v>349943</v>
      </c>
      <c r="U18" s="11">
        <f t="shared" si="1"/>
        <v>525195</v>
      </c>
      <c r="V18" s="11">
        <f t="shared" si="1"/>
        <v>73675</v>
      </c>
      <c r="W18" s="11">
        <f t="shared" si="1"/>
        <v>598870</v>
      </c>
      <c r="X18" s="17">
        <f t="shared" si="1"/>
        <v>6058691</v>
      </c>
      <c r="Y18" s="17">
        <v>2671881</v>
      </c>
      <c r="Z18" s="17">
        <v>2780937</v>
      </c>
      <c r="AA18" s="17">
        <v>605873</v>
      </c>
    </row>
    <row r="19" spans="8:27" ht="12.75">
      <c r="H19" s="1"/>
      <c r="J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>
        <f>SUM(Y13:Y17)</f>
        <v>2671881</v>
      </c>
      <c r="Z19" s="1">
        <f>SUM(Z13:Z17)</f>
        <v>2780937.0000000005</v>
      </c>
      <c r="AA19" s="1">
        <f>SUM(AA13:AA17)</f>
        <v>605873</v>
      </c>
    </row>
    <row r="20" spans="8:24" ht="12.75">
      <c r="H20" s="1"/>
      <c r="J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2">
        <v>6058691</v>
      </c>
    </row>
    <row r="21" spans="8:24" ht="12.75">
      <c r="H21" s="1"/>
      <c r="J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>X20-X18</f>
        <v>0</v>
      </c>
    </row>
    <row r="22" spans="6:24" ht="12.75">
      <c r="F22" s="1"/>
      <c r="H22" s="1"/>
      <c r="J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6:24" ht="12.75">
      <c r="F23" s="1"/>
      <c r="H23" s="1"/>
      <c r="J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6:24" ht="12.75">
      <c r="F24" s="1"/>
      <c r="H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4:24" ht="12.75">
      <c r="D25" t="s">
        <v>69</v>
      </c>
      <c r="F25">
        <v>1520.48</v>
      </c>
      <c r="H25" s="1"/>
      <c r="J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8:24" ht="12.75">
      <c r="H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8:24" ht="12.75">
      <c r="H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6:24" ht="12.75">
      <c r="F28" s="12"/>
      <c r="H28" s="1"/>
      <c r="J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0:24" ht="12.75">
      <c r="J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0:24" ht="12.75"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0:24" ht="12.75">
      <c r="J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</sheetData>
  <sheetProtection/>
  <mergeCells count="23">
    <mergeCell ref="X10:X12"/>
    <mergeCell ref="B10:B12"/>
    <mergeCell ref="G10:H10"/>
    <mergeCell ref="I10:J10"/>
    <mergeCell ref="K10:L10"/>
    <mergeCell ref="U11:W11"/>
    <mergeCell ref="C10:F10"/>
    <mergeCell ref="C11:D11"/>
    <mergeCell ref="A10:A12"/>
    <mergeCell ref="M10:N10"/>
    <mergeCell ref="O11:Q11"/>
    <mergeCell ref="R11:T11"/>
    <mergeCell ref="M11:M12"/>
    <mergeCell ref="N11:N12"/>
    <mergeCell ref="O10:W10"/>
    <mergeCell ref="E11:F11"/>
    <mergeCell ref="B8:W8"/>
    <mergeCell ref="H11:H12"/>
    <mergeCell ref="G11:G12"/>
    <mergeCell ref="I11:I12"/>
    <mergeCell ref="J11:J12"/>
    <mergeCell ref="K11:K12"/>
    <mergeCell ref="L11:L12"/>
  </mergeCells>
  <printOptions/>
  <pageMargins left="0.26" right="0.18" top="0.62" bottom="1" header="0.5" footer="0.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T38"/>
  <sheetViews>
    <sheetView zoomScale="75" zoomScaleNormal="75" workbookViewId="0" topLeftCell="C7">
      <selection activeCell="S24" sqref="S24"/>
    </sheetView>
  </sheetViews>
  <sheetFormatPr defaultColWidth="9.00390625" defaultRowHeight="12.75"/>
  <cols>
    <col min="1" max="1" width="5.625" style="0" customWidth="1"/>
    <col min="2" max="2" width="20.125" style="0" customWidth="1"/>
    <col min="3" max="3" width="11.75390625" style="0" customWidth="1"/>
    <col min="4" max="4" width="11.25390625" style="0" customWidth="1"/>
    <col min="5" max="5" width="11.875" style="0" customWidth="1"/>
    <col min="6" max="6" width="12.125" style="0" customWidth="1"/>
    <col min="7" max="7" width="10.875" style="0" customWidth="1"/>
    <col min="8" max="8" width="11.375" style="0" customWidth="1"/>
    <col min="9" max="15" width="12.875" style="0" customWidth="1"/>
    <col min="16" max="16" width="16.125" style="0" bestFit="1" customWidth="1"/>
    <col min="17" max="17" width="16.00390625" style="0" customWidth="1"/>
    <col min="18" max="18" width="13.25390625" style="0" bestFit="1" customWidth="1"/>
    <col min="19" max="19" width="13.125" style="0" customWidth="1"/>
    <col min="20" max="20" width="14.375" style="0" bestFit="1" customWidth="1"/>
  </cols>
  <sheetData>
    <row r="8" spans="1:19" ht="30.75" customHeight="1">
      <c r="A8" s="2"/>
      <c r="B8" s="66" t="s">
        <v>74</v>
      </c>
      <c r="C8" s="66"/>
      <c r="D8" s="66"/>
      <c r="E8" s="66"/>
      <c r="F8" s="66"/>
      <c r="G8" s="66"/>
      <c r="H8" s="66"/>
      <c r="I8" s="66"/>
      <c r="J8" s="29"/>
      <c r="K8" s="29"/>
      <c r="L8" s="29"/>
      <c r="M8" s="29"/>
      <c r="N8" s="29"/>
      <c r="O8" s="29"/>
      <c r="P8" s="2"/>
      <c r="Q8" s="2"/>
      <c r="R8" s="2"/>
      <c r="S8" s="2"/>
    </row>
    <row r="9" spans="1:19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33"/>
      <c r="L9" s="33"/>
      <c r="M9" s="33"/>
      <c r="N9" s="33"/>
      <c r="O9" s="33"/>
      <c r="P9" s="33"/>
      <c r="Q9" s="33"/>
      <c r="R9" s="33"/>
      <c r="S9" s="33"/>
    </row>
    <row r="10" spans="1:20" ht="18.75" customHeight="1">
      <c r="A10" s="64" t="s">
        <v>22</v>
      </c>
      <c r="B10" s="64" t="s">
        <v>21</v>
      </c>
      <c r="C10" s="64" t="s">
        <v>5</v>
      </c>
      <c r="D10" s="64"/>
      <c r="E10" s="64"/>
      <c r="F10" s="64"/>
      <c r="G10" s="64"/>
      <c r="H10" s="64"/>
      <c r="I10" s="64"/>
      <c r="J10" s="78" t="s">
        <v>76</v>
      </c>
      <c r="K10" s="9"/>
      <c r="L10" s="9"/>
      <c r="M10" s="9"/>
      <c r="N10" s="9"/>
      <c r="O10" s="59" t="s">
        <v>77</v>
      </c>
      <c r="P10" s="57" t="s">
        <v>75</v>
      </c>
      <c r="Q10" s="36"/>
      <c r="R10" s="37"/>
      <c r="S10" s="37"/>
      <c r="T10" s="38"/>
    </row>
    <row r="11" spans="1:20" ht="15.75" customHeight="1">
      <c r="A11" s="64"/>
      <c r="B11" s="64"/>
      <c r="C11" s="59" t="s">
        <v>67</v>
      </c>
      <c r="D11" s="58" t="s">
        <v>6</v>
      </c>
      <c r="E11" s="58" t="s">
        <v>7</v>
      </c>
      <c r="F11" s="59" t="s">
        <v>68</v>
      </c>
      <c r="G11" s="59" t="s">
        <v>17</v>
      </c>
      <c r="H11" s="59" t="s">
        <v>8</v>
      </c>
      <c r="I11" s="59" t="s">
        <v>9</v>
      </c>
      <c r="J11" s="79"/>
      <c r="K11" s="9"/>
      <c r="L11" s="9"/>
      <c r="M11" s="9"/>
      <c r="N11" s="9"/>
      <c r="O11" s="59"/>
      <c r="P11" s="76"/>
      <c r="Q11" s="15"/>
      <c r="R11" s="2"/>
      <c r="S11" s="2"/>
      <c r="T11" s="39"/>
    </row>
    <row r="12" spans="1:20" ht="15.75" customHeight="1">
      <c r="A12" s="64"/>
      <c r="B12" s="64"/>
      <c r="C12" s="59"/>
      <c r="D12" s="58"/>
      <c r="E12" s="58"/>
      <c r="F12" s="59"/>
      <c r="G12" s="59"/>
      <c r="H12" s="59"/>
      <c r="I12" s="59"/>
      <c r="J12" s="79"/>
      <c r="K12" s="9"/>
      <c r="L12" s="9"/>
      <c r="M12" s="9"/>
      <c r="N12" s="9"/>
      <c r="O12" s="59"/>
      <c r="P12" s="76"/>
      <c r="Q12" s="15"/>
      <c r="R12" s="2"/>
      <c r="S12" s="2"/>
      <c r="T12" s="39"/>
    </row>
    <row r="13" spans="1:20" ht="19.5" customHeight="1">
      <c r="A13" s="64"/>
      <c r="B13" s="64"/>
      <c r="C13" s="65"/>
      <c r="D13" s="61"/>
      <c r="E13" s="61"/>
      <c r="F13" s="65"/>
      <c r="G13" s="65"/>
      <c r="H13" s="65"/>
      <c r="I13" s="65"/>
      <c r="J13" s="80"/>
      <c r="K13" s="15" t="s">
        <v>73</v>
      </c>
      <c r="L13" s="15" t="s">
        <v>71</v>
      </c>
      <c r="M13" s="15" t="s">
        <v>72</v>
      </c>
      <c r="N13" s="47">
        <v>0.05</v>
      </c>
      <c r="O13" s="59"/>
      <c r="P13" s="77"/>
      <c r="Q13" s="15" t="s">
        <v>73</v>
      </c>
      <c r="R13" s="15" t="s">
        <v>71</v>
      </c>
      <c r="S13" s="15" t="s">
        <v>72</v>
      </c>
      <c r="T13" s="39"/>
    </row>
    <row r="14" spans="1:20" ht="52.5" customHeight="1">
      <c r="A14" s="2">
        <v>1</v>
      </c>
      <c r="B14" s="3" t="s">
        <v>0</v>
      </c>
      <c r="C14" s="4"/>
      <c r="D14" s="4"/>
      <c r="E14" s="4"/>
      <c r="F14" s="4"/>
      <c r="G14" s="4"/>
      <c r="H14" s="4"/>
      <c r="I14" s="4"/>
      <c r="J14" s="31"/>
      <c r="K14" s="4"/>
      <c r="L14" s="4"/>
      <c r="M14" s="4"/>
      <c r="N14" s="4"/>
      <c r="O14" s="4"/>
      <c r="P14" s="46">
        <f>'дворы ЦИИ'!AB14</f>
        <v>1219898.9424722518</v>
      </c>
      <c r="Q14" s="4">
        <f>'дворы ЦИИ'!AC14</f>
        <v>537975.3956827204</v>
      </c>
      <c r="R14" s="4">
        <f>'дворы ЦИИ'!AD14</f>
        <v>559933.7029232829</v>
      </c>
      <c r="S14" s="4">
        <f>'дворы ЦИИ'!AE14</f>
        <v>121989.84386624862</v>
      </c>
      <c r="T14" s="40">
        <f aca="true" t="shared" si="0" ref="T14:T22">Q14+R14+S14</f>
        <v>1219898.9424722518</v>
      </c>
    </row>
    <row r="15" spans="1:20" ht="71.25" customHeight="1">
      <c r="A15" s="2">
        <v>2</v>
      </c>
      <c r="B15" s="5" t="s">
        <v>11</v>
      </c>
      <c r="C15" s="4">
        <v>415875</v>
      </c>
      <c r="D15" s="4">
        <v>102700</v>
      </c>
      <c r="E15" s="4">
        <v>25147</v>
      </c>
      <c r="F15" s="4">
        <v>63350</v>
      </c>
      <c r="G15" s="4">
        <f>42*1599</f>
        <v>67158</v>
      </c>
      <c r="H15" s="4">
        <f>(C15+D15+E15+F15+G15)*0.21</f>
        <v>141588.3</v>
      </c>
      <c r="I15" s="4">
        <f>SUM(C15:H15)</f>
        <v>815818.3</v>
      </c>
      <c r="J15" s="31">
        <f>I15</f>
        <v>815818.3</v>
      </c>
      <c r="K15" s="4">
        <f>(J15-M15)*49%</f>
        <v>360175.621267</v>
      </c>
      <c r="L15" s="4">
        <f>J15-K15-M15</f>
        <v>374876.66703300003</v>
      </c>
      <c r="M15" s="4">
        <f>J15*9.9%</f>
        <v>80766.0117</v>
      </c>
      <c r="N15" s="4">
        <f>J15*5%</f>
        <v>40790.91500000001</v>
      </c>
      <c r="O15" s="4">
        <f>SUM(K15:N15)</f>
        <v>856609.2150000001</v>
      </c>
      <c r="P15" s="46">
        <f>'дворы ЦИИ'!AB15</f>
        <v>2137668.6607999997</v>
      </c>
      <c r="Q15" s="4">
        <f>'дворы ЦИИ'!AC15</f>
        <v>942711.8129160844</v>
      </c>
      <c r="R15" s="4">
        <f>'дворы ЦИИ'!AD15</f>
        <v>981190.070088142</v>
      </c>
      <c r="S15" s="4">
        <f>'дворы ЦИИ'!AE15</f>
        <v>213766.77779577335</v>
      </c>
      <c r="T15" s="40">
        <f t="shared" si="0"/>
        <v>2137668.6607999997</v>
      </c>
    </row>
    <row r="16" spans="1:20" ht="78.75" customHeight="1">
      <c r="A16" s="2">
        <v>3</v>
      </c>
      <c r="B16" s="5" t="s">
        <v>12</v>
      </c>
      <c r="C16" s="4"/>
      <c r="D16" s="4"/>
      <c r="E16" s="4"/>
      <c r="F16" s="4"/>
      <c r="G16" s="4"/>
      <c r="H16" s="4"/>
      <c r="I16" s="4"/>
      <c r="J16" s="31"/>
      <c r="K16" s="4"/>
      <c r="L16" s="4"/>
      <c r="M16" s="4"/>
      <c r="N16" s="4"/>
      <c r="O16" s="4"/>
      <c r="P16" s="46">
        <f>'дворы ЦИИ'!AB16</f>
        <v>2523260.4911558433</v>
      </c>
      <c r="Q16" s="4">
        <f>'дворы ЦИИ'!AC16</f>
        <v>1112757.7981083603</v>
      </c>
      <c r="R16" s="4">
        <f>'дворы ЦИИ'!AD16</f>
        <v>1158176.7481407993</v>
      </c>
      <c r="S16" s="4">
        <f>'дворы ЦИИ'!AE16</f>
        <v>252325.9449066837</v>
      </c>
      <c r="T16" s="40">
        <f t="shared" si="0"/>
        <v>2523260.4911558433</v>
      </c>
    </row>
    <row r="17" spans="1:20" ht="64.5" customHeight="1">
      <c r="A17" s="2">
        <v>4</v>
      </c>
      <c r="B17" s="5" t="s">
        <v>47</v>
      </c>
      <c r="C17" s="4"/>
      <c r="D17" s="4"/>
      <c r="E17" s="4"/>
      <c r="F17" s="4"/>
      <c r="G17" s="4"/>
      <c r="H17" s="4"/>
      <c r="I17" s="4"/>
      <c r="J17" s="31"/>
      <c r="K17" s="4"/>
      <c r="L17" s="4"/>
      <c r="M17" s="4"/>
      <c r="N17" s="4"/>
      <c r="O17" s="4"/>
      <c r="P17" s="46">
        <f>'дворы ЦИИ'!AB17</f>
        <v>1174457.6304767223</v>
      </c>
      <c r="Q17" s="4">
        <f>'дворы ЦИИ'!AC17</f>
        <v>517935.77850624017</v>
      </c>
      <c r="R17" s="4">
        <f>'дворы ЦИИ'!AD17</f>
        <v>539076.137427092</v>
      </c>
      <c r="S17" s="4">
        <f>'дворы ЦИИ'!AE17</f>
        <v>117445.71454339019</v>
      </c>
      <c r="T17" s="40">
        <f t="shared" si="0"/>
        <v>1174457.6304767223</v>
      </c>
    </row>
    <row r="18" spans="1:20" ht="58.5" customHeight="1">
      <c r="A18" s="2">
        <v>5</v>
      </c>
      <c r="B18" s="5" t="s">
        <v>14</v>
      </c>
      <c r="C18" s="4"/>
      <c r="D18" s="4"/>
      <c r="E18" s="4"/>
      <c r="F18" s="4"/>
      <c r="G18" s="4"/>
      <c r="H18" s="4"/>
      <c r="I18" s="4"/>
      <c r="J18" s="31"/>
      <c r="K18" s="4"/>
      <c r="L18" s="4"/>
      <c r="M18" s="4"/>
      <c r="N18" s="4"/>
      <c r="O18" s="4"/>
      <c r="P18" s="46">
        <f>'дворы ЦИИ'!AB18</f>
        <v>2694997.3893915014</v>
      </c>
      <c r="Q18" s="4">
        <f>'дворы ЦИИ'!AC18</f>
        <v>1188493.7648880451</v>
      </c>
      <c r="R18" s="4">
        <f>'дворы ЦИИ'!AD18</f>
        <v>1237003.996865821</v>
      </c>
      <c r="S18" s="4">
        <f>'дворы ЦИИ'!AE18</f>
        <v>269499.6276376353</v>
      </c>
      <c r="T18" s="40">
        <f t="shared" si="0"/>
        <v>2694997.389391502</v>
      </c>
    </row>
    <row r="19" spans="1:20" ht="51.75" customHeight="1">
      <c r="A19" s="2">
        <v>6</v>
      </c>
      <c r="B19" s="5" t="s">
        <v>15</v>
      </c>
      <c r="C19" s="4"/>
      <c r="D19" s="4"/>
      <c r="E19" s="4"/>
      <c r="F19" s="4"/>
      <c r="G19" s="4"/>
      <c r="H19" s="4"/>
      <c r="I19" s="4"/>
      <c r="J19" s="31"/>
      <c r="K19" s="4"/>
      <c r="L19" s="4"/>
      <c r="M19" s="4"/>
      <c r="N19" s="4"/>
      <c r="O19" s="4"/>
      <c r="P19" s="46">
        <f>'дворы ЦИИ'!AB19</f>
        <v>623132.9182800001</v>
      </c>
      <c r="Q19" s="4">
        <f>'дворы ЦИИ'!AC19</f>
        <v>274801.59757760965</v>
      </c>
      <c r="R19" s="4">
        <f>'дворы ЦИИ'!AD19</f>
        <v>286018.0546093459</v>
      </c>
      <c r="S19" s="4">
        <f>'дворы ЦИИ'!AE19</f>
        <v>62313.26609304455</v>
      </c>
      <c r="T19" s="40">
        <f t="shared" si="0"/>
        <v>623132.9182800001</v>
      </c>
    </row>
    <row r="20" spans="1:20" ht="72" customHeight="1">
      <c r="A20" s="2">
        <v>7</v>
      </c>
      <c r="B20" s="5" t="s">
        <v>16</v>
      </c>
      <c r="C20" s="4">
        <v>228748</v>
      </c>
      <c r="D20" s="4">
        <v>44715</v>
      </c>
      <c r="E20" s="4">
        <v>25147</v>
      </c>
      <c r="F20" s="4">
        <v>63350</v>
      </c>
      <c r="G20" s="4"/>
      <c r="H20" s="4">
        <f>(C20+D20+E20+F20+G20)*0.214</f>
        <v>77459.44</v>
      </c>
      <c r="I20" s="4">
        <f>SUM(C20:H20)</f>
        <v>439419.44</v>
      </c>
      <c r="J20" s="31">
        <f>I20</f>
        <v>439419.44</v>
      </c>
      <c r="K20" s="4">
        <f>(J20-M20)*49%</f>
        <v>193999.2885656</v>
      </c>
      <c r="L20" s="4">
        <f>J20-K20-M20</f>
        <v>201917.6268744</v>
      </c>
      <c r="M20" s="4">
        <f>J20*9.9%</f>
        <v>43502.524560000005</v>
      </c>
      <c r="N20" s="4">
        <f>J20*5%</f>
        <v>21970.972</v>
      </c>
      <c r="O20" s="4">
        <f>SUM(K20:N20)</f>
        <v>461390.412</v>
      </c>
      <c r="P20" s="46">
        <f>'дворы ЦИИ'!AB20</f>
        <v>550962.99</v>
      </c>
      <c r="Q20" s="4">
        <f>'дворы ЦИИ'!AC20</f>
        <v>242974.6614511282</v>
      </c>
      <c r="R20" s="4">
        <f>'дворы ЦИИ'!AD20</f>
        <v>252892.0523032595</v>
      </c>
      <c r="S20" s="4">
        <f>'дворы ЦИИ'!AE20</f>
        <v>55096.2762456123</v>
      </c>
      <c r="T20" s="40">
        <f t="shared" si="0"/>
        <v>550962.99</v>
      </c>
    </row>
    <row r="21" spans="1:20" ht="58.5" customHeight="1">
      <c r="A21" s="2">
        <v>8</v>
      </c>
      <c r="B21" s="5" t="s">
        <v>18</v>
      </c>
      <c r="C21" s="4"/>
      <c r="D21" s="4"/>
      <c r="E21" s="4"/>
      <c r="F21" s="4"/>
      <c r="G21" s="4"/>
      <c r="H21" s="4"/>
      <c r="I21" s="4"/>
      <c r="J21" s="31">
        <v>175907.75</v>
      </c>
      <c r="K21" s="4">
        <f>J21-L21-M21</f>
        <v>80831.37020250001</v>
      </c>
      <c r="L21" s="4">
        <f>(J21-M21)*49%</f>
        <v>77661.5125475</v>
      </c>
      <c r="M21" s="4">
        <f>J21*9.9%</f>
        <v>17414.86725</v>
      </c>
      <c r="N21" s="4">
        <f>J21*5%</f>
        <v>8795.3875</v>
      </c>
      <c r="O21" s="4">
        <f>SUM(K21:N21)</f>
        <v>184703.1375</v>
      </c>
      <c r="P21" s="46">
        <f>'дворы ЦИИ'!AB21</f>
        <v>249773.74534</v>
      </c>
      <c r="Q21" s="4">
        <f>'дворы ЦИИ'!AC21</f>
        <v>110150.21392519814</v>
      </c>
      <c r="R21" s="4">
        <f>'дворы ЦИИ'!AD21</f>
        <v>114646.16719628352</v>
      </c>
      <c r="S21" s="4">
        <f>'дворы ЦИИ'!AE21</f>
        <v>24977.364218518305</v>
      </c>
      <c r="T21" s="40">
        <f t="shared" si="0"/>
        <v>249773.74533999996</v>
      </c>
    </row>
    <row r="22" spans="1:20" ht="53.25" customHeight="1">
      <c r="A22" s="2">
        <v>9</v>
      </c>
      <c r="B22" s="5" t="s">
        <v>19</v>
      </c>
      <c r="C22" s="17"/>
      <c r="D22" s="17"/>
      <c r="E22" s="17"/>
      <c r="F22" s="17"/>
      <c r="G22" s="17"/>
      <c r="H22" s="17"/>
      <c r="I22" s="17"/>
      <c r="J22" s="32"/>
      <c r="K22" s="17"/>
      <c r="L22" s="17"/>
      <c r="M22" s="17"/>
      <c r="N22" s="17"/>
      <c r="O22" s="17"/>
      <c r="P22" s="46">
        <f>'дворы ЦИИ'!AB22</f>
        <v>943222.2364751488</v>
      </c>
      <c r="Q22" s="4">
        <f>'дворы ЦИИ'!AC22</f>
        <v>415960.9769446134</v>
      </c>
      <c r="R22" s="4">
        <f>'дворы ЦИИ'!AD22</f>
        <v>432939.0748374419</v>
      </c>
      <c r="S22" s="4">
        <f>'дворы ЦИИ'!AE22</f>
        <v>94322.18469309354</v>
      </c>
      <c r="T22" s="40">
        <f t="shared" si="0"/>
        <v>943222.2364751488</v>
      </c>
    </row>
    <row r="23" spans="1:20" ht="12.75">
      <c r="A23" s="2"/>
      <c r="B23" s="6" t="s">
        <v>20</v>
      </c>
      <c r="C23" s="17">
        <f aca="true" t="shared" si="1" ref="C23:P23">SUM(C14:C22)</f>
        <v>644623</v>
      </c>
      <c r="D23" s="17">
        <f t="shared" si="1"/>
        <v>147415</v>
      </c>
      <c r="E23" s="17">
        <f t="shared" si="1"/>
        <v>50294</v>
      </c>
      <c r="F23" s="17">
        <f t="shared" si="1"/>
        <v>126700</v>
      </c>
      <c r="G23" s="17">
        <f t="shared" si="1"/>
        <v>67158</v>
      </c>
      <c r="H23" s="17">
        <f t="shared" si="1"/>
        <v>219047.74</v>
      </c>
      <c r="I23" s="17">
        <f t="shared" si="1"/>
        <v>1255237.74</v>
      </c>
      <c r="J23" s="17">
        <f t="shared" si="1"/>
        <v>1431145.49</v>
      </c>
      <c r="K23" s="17">
        <f t="shared" si="1"/>
        <v>635006.2800351001</v>
      </c>
      <c r="L23" s="17">
        <f t="shared" si="1"/>
        <v>654455.8064549</v>
      </c>
      <c r="M23" s="17">
        <f t="shared" si="1"/>
        <v>141683.40351</v>
      </c>
      <c r="N23" s="17">
        <f t="shared" si="1"/>
        <v>71557.27450000001</v>
      </c>
      <c r="O23" s="17">
        <f t="shared" si="1"/>
        <v>1502702.7645</v>
      </c>
      <c r="P23" s="41">
        <f t="shared" si="1"/>
        <v>12117375.004391469</v>
      </c>
      <c r="Q23" s="17"/>
      <c r="R23" s="17"/>
      <c r="S23" s="17"/>
      <c r="T23" s="39"/>
    </row>
    <row r="24" spans="1:20" ht="13.5" thickBot="1">
      <c r="A24" s="2"/>
      <c r="B24" s="2"/>
      <c r="C24" s="4"/>
      <c r="D24" s="4"/>
      <c r="E24" s="4"/>
      <c r="F24" s="4"/>
      <c r="G24" s="4"/>
      <c r="H24" s="4"/>
      <c r="I24" s="4"/>
      <c r="J24" s="31"/>
      <c r="K24" s="45"/>
      <c r="L24" s="45"/>
      <c r="M24" s="45"/>
      <c r="N24" s="45"/>
      <c r="O24" s="45"/>
      <c r="P24" s="42"/>
      <c r="Q24" s="43">
        <f>SUM(Q14:Q22)</f>
        <v>5343762</v>
      </c>
      <c r="R24" s="43">
        <f>SUM(R14:R22)</f>
        <v>5561876.004391468</v>
      </c>
      <c r="S24" s="43">
        <f>SUM(S14:S22)</f>
        <v>1211737</v>
      </c>
      <c r="T24" s="44">
        <f>SUM(T14:T22)</f>
        <v>12117375.004391469</v>
      </c>
    </row>
    <row r="25" spans="1:20" ht="12.75">
      <c r="A25" s="2"/>
      <c r="B25" s="2"/>
      <c r="C25" s="4"/>
      <c r="D25" s="4"/>
      <c r="E25" s="4"/>
      <c r="F25" s="4"/>
      <c r="G25" s="4"/>
      <c r="H25" s="4"/>
      <c r="I25" s="4"/>
      <c r="J25" s="4"/>
      <c r="K25" s="34"/>
      <c r="L25" s="34"/>
      <c r="M25" s="34"/>
      <c r="N25" s="34"/>
      <c r="O25" s="34"/>
      <c r="P25" s="34"/>
      <c r="Q25" s="34"/>
      <c r="R25" s="35"/>
      <c r="S25" s="35"/>
      <c r="T25" s="1"/>
    </row>
    <row r="26" spans="1:19" ht="12.75">
      <c r="A26" s="2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1">
        <v>12117375</v>
      </c>
      <c r="Q26" s="11"/>
      <c r="R26" s="2"/>
      <c r="S26" s="2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3"/>
      <c r="Q27" s="23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>P26-P23</f>
        <v>-0.004391469061374664</v>
      </c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sheetProtection/>
  <mergeCells count="14">
    <mergeCell ref="B8:I8"/>
    <mergeCell ref="C10:I10"/>
    <mergeCell ref="E11:E13"/>
    <mergeCell ref="C11:C13"/>
    <mergeCell ref="D11:D13"/>
    <mergeCell ref="A10:A13"/>
    <mergeCell ref="F11:F13"/>
    <mergeCell ref="G11:G13"/>
    <mergeCell ref="P10:P13"/>
    <mergeCell ref="B10:B13"/>
    <mergeCell ref="H11:H13"/>
    <mergeCell ref="I11:I13"/>
    <mergeCell ref="J10:J13"/>
    <mergeCell ref="O10:O13"/>
  </mergeCells>
  <printOptions/>
  <pageMargins left="0.26" right="0.18" top="0.38" bottom="0.61" header="0.5" footer="0.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Тест</dc:creator>
  <cp:keywords/>
  <dc:description/>
  <cp:lastModifiedBy>Тест</cp:lastModifiedBy>
  <cp:lastPrinted>2017-06-20T13:56:38Z</cp:lastPrinted>
  <dcterms:created xsi:type="dcterms:W3CDTF">2017-05-19T11:18:13Z</dcterms:created>
  <dcterms:modified xsi:type="dcterms:W3CDTF">2017-06-21T12:24:00Z</dcterms:modified>
  <cp:category/>
  <cp:version/>
  <cp:contentType/>
  <cp:contentStatus/>
</cp:coreProperties>
</file>